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9420" windowHeight="4245" activeTab="1"/>
  </bookViews>
  <sheets>
    <sheet name="BS" sheetId="1" r:id="rId1"/>
    <sheet name="PL" sheetId="2" r:id="rId2"/>
    <sheet name="Cashflow" sheetId="3" r:id="rId3"/>
    <sheet name="Statement on Equity Changes" sheetId="4" r:id="rId4"/>
    <sheet name="Recognised Gains &amp; Losses" sheetId="5" r:id="rId5"/>
  </sheets>
  <externalReferences>
    <externalReference r:id="rId8"/>
  </externalReferences>
  <definedNames>
    <definedName name="_xlnm.Print_Area" localSheetId="0">'BS'!$A$2:$J$62</definedName>
    <definedName name="_xlnm.Print_Area" localSheetId="2">'Cashflow'!$A$2:$H$52</definedName>
    <definedName name="_xlnm.Print_Area" localSheetId="1">'PL'!$C$3:$M$55</definedName>
  </definedNames>
  <calcPr fullCalcOnLoad="1"/>
</workbook>
</file>

<file path=xl/sharedStrings.xml><?xml version="1.0" encoding="utf-8"?>
<sst xmlns="http://schemas.openxmlformats.org/spreadsheetml/2006/main" count="222" uniqueCount="140">
  <si>
    <t>Share Premium</t>
  </si>
  <si>
    <t>Current Assets</t>
  </si>
  <si>
    <t>Inventories</t>
  </si>
  <si>
    <t xml:space="preserve"> </t>
  </si>
  <si>
    <t>RM'000</t>
  </si>
  <si>
    <t>PRECEDING</t>
  </si>
  <si>
    <t>QUARTER</t>
  </si>
  <si>
    <t xml:space="preserve">FINANCIAL </t>
  </si>
  <si>
    <t>YEAR END</t>
  </si>
  <si>
    <t>RM' 000</t>
  </si>
  <si>
    <t>Other debtors, deposit &amp; prepayment</t>
  </si>
  <si>
    <t>Cash in Bank &amp; Fixed Deposits</t>
  </si>
  <si>
    <t>Curent Liabilities</t>
  </si>
  <si>
    <t>Hire Purchase Creditors</t>
  </si>
  <si>
    <t xml:space="preserve">  </t>
  </si>
  <si>
    <t>AS AT END</t>
  </si>
  <si>
    <t xml:space="preserve">OF CURRENT </t>
  </si>
  <si>
    <t>AS AT</t>
  </si>
  <si>
    <t>Property, plant and equipment</t>
  </si>
  <si>
    <t>Trade Payables</t>
  </si>
  <si>
    <t>Other Payables and Accruals</t>
  </si>
  <si>
    <t>EPS</t>
  </si>
  <si>
    <t>- Basic (sen)</t>
  </si>
  <si>
    <t>- Diluted (sen)</t>
  </si>
  <si>
    <t>Condensed Consolidated Statement of Changes in Equity</t>
  </si>
  <si>
    <t>Share</t>
  </si>
  <si>
    <t>Revaluation</t>
  </si>
  <si>
    <t>Translation</t>
  </si>
  <si>
    <t xml:space="preserve">Share </t>
  </si>
  <si>
    <t>Retained</t>
  </si>
  <si>
    <t>Total</t>
  </si>
  <si>
    <t>Capital</t>
  </si>
  <si>
    <t>Reserve</t>
  </si>
  <si>
    <t>Premium</t>
  </si>
  <si>
    <t>Profits</t>
  </si>
  <si>
    <t>Bal. as at 1 January 2002</t>
  </si>
  <si>
    <t>Issue of shares</t>
  </si>
  <si>
    <t>Loss on translation of</t>
  </si>
  <si>
    <t xml:space="preserve">   foreign subsidiary</t>
  </si>
  <si>
    <t>Condensed Consolidated Statement of</t>
  </si>
  <si>
    <t>Recognised Gains and Losses</t>
  </si>
  <si>
    <t>Cumulative</t>
  </si>
  <si>
    <t>Surplus/(Deficit) on revaluation of properties</t>
  </si>
  <si>
    <t>Surplus/(Deficit) on revaluation of investments</t>
  </si>
  <si>
    <t>Exchange differences on translation of the</t>
  </si>
  <si>
    <t xml:space="preserve">    financial statements of foreign entities</t>
  </si>
  <si>
    <t>Net gains/(losses) not recognised in the</t>
  </si>
  <si>
    <t xml:space="preserve">    income statements</t>
  </si>
  <si>
    <t>Total recognised gains/(losses) for the</t>
  </si>
  <si>
    <t xml:space="preserve">CONDENSED CONSOLIDATED CASH FLOW STATEMENT </t>
  </si>
  <si>
    <t>1ST QTR</t>
  </si>
  <si>
    <t>RM</t>
  </si>
  <si>
    <t>NET PROFIT/(LOSS) BEFORE TAX</t>
  </si>
  <si>
    <t>ADJUSTMENT FOR NON CASH MOVEMENTS</t>
  </si>
  <si>
    <t>Depreciation</t>
  </si>
  <si>
    <t>(Profit)/Loss on Disposal of Fixed Assets</t>
  </si>
  <si>
    <t>Goodwill written off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</si>
  <si>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</si>
  <si>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</si>
  <si>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</si>
  <si>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</si>
  <si>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</si>
  <si>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</si>
  <si>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Purchases of Fixed Assets</t>
  </si>
  <si>
    <t>Disposal of Fixed Assets/Investment</t>
  </si>
  <si>
    <t>Translation difference (foreign subsidiary)</t>
  </si>
  <si>
    <t>FINANCING ACTIVITIES</t>
  </si>
  <si>
    <t>Issue of Share</t>
  </si>
  <si>
    <t>Bank Borrowings</t>
  </si>
  <si>
    <t>NET CHANGE IN CASH &amp; CASH EQUIVALENTS</t>
  </si>
  <si>
    <t>CASH &amp; CASH EQUIVALENTS AT BEGINNING OF YEAR</t>
  </si>
  <si>
    <t>31/12/02</t>
  </si>
  <si>
    <t>Bal. as at 31 December 2002</t>
  </si>
  <si>
    <t xml:space="preserve">Dilution on issue of shares </t>
  </si>
  <si>
    <t>Intangible Assets</t>
  </si>
  <si>
    <t>Trade Debtors</t>
  </si>
  <si>
    <t>Net Current Assets / (Liabilities)</t>
  </si>
  <si>
    <t>Share Capital</t>
  </si>
  <si>
    <t>Reserves</t>
  </si>
  <si>
    <t>Shareholders funds</t>
  </si>
  <si>
    <t>Long term liabilities</t>
  </si>
  <si>
    <t>Hire purchase payables</t>
  </si>
  <si>
    <t>Term loans</t>
  </si>
  <si>
    <t>Minority interest</t>
  </si>
  <si>
    <t>Net tangible assets per share (RM)</t>
  </si>
  <si>
    <t>(The Condensed Consolidated Balance Sheet should be read in conjunction with the Annual Financial Report for the year ended 31st December 2002)</t>
  </si>
  <si>
    <t>31/03/03</t>
  </si>
  <si>
    <t>2002</t>
  </si>
  <si>
    <t>31/03/02</t>
  </si>
  <si>
    <t>CORRESPONDING</t>
  </si>
  <si>
    <t>YEAR TO DATE</t>
  </si>
  <si>
    <t>ENDED</t>
  </si>
  <si>
    <t>CURRENT</t>
  </si>
  <si>
    <t>OPERATING EXPENSES</t>
  </si>
  <si>
    <t>OTHER OPERATING INCOME</t>
  </si>
  <si>
    <t>FINANCE COST</t>
  </si>
  <si>
    <t>INVESTING RESULT</t>
  </si>
  <si>
    <t>Profit warranty received</t>
  </si>
  <si>
    <t>PROFIT/(LOSS) FROM OPERATIONS</t>
  </si>
  <si>
    <t>PROFIT/(LOSS) BEFORE TAX</t>
  </si>
  <si>
    <t>TAXATION</t>
  </si>
  <si>
    <t>PROFIT/(LOSS) AFTER TAX</t>
  </si>
  <si>
    <t>NET PROFIT/(LOSS) FOR THE PERIOD</t>
  </si>
  <si>
    <t>MINORITY INTEREST</t>
  </si>
  <si>
    <t>CONDENSED CONSOLIDATED INCOME STATEMENTS</t>
  </si>
  <si>
    <t>(The condensed Consolidated Income Statements should be read in conjunction with the Annual Financial Report for the year ended 31st December 2002)</t>
  </si>
  <si>
    <t>Revaluation Reserve</t>
  </si>
  <si>
    <t>Translation Reserve</t>
  </si>
  <si>
    <t>Retained Profit</t>
  </si>
  <si>
    <t>Tax paid</t>
  </si>
  <si>
    <t>(The Condensed Consolidated Cash Flow Statement should be read in conjunction with the Annual Financial Report for the year ended 31st December 2002)</t>
  </si>
  <si>
    <t>Bal. as at 1 January 2003</t>
  </si>
  <si>
    <t>Net Loss for the 12 months</t>
  </si>
  <si>
    <t>(The Condensed Consolidated Statement of Changes in Equity should be read in conjunction with the Annual Financial Report for the year ended 31st December 2002)</t>
  </si>
  <si>
    <t>Gain on translation of</t>
  </si>
  <si>
    <t xml:space="preserve">   in a subsidiary in prior year</t>
  </si>
  <si>
    <t xml:space="preserve">   overstated</t>
  </si>
  <si>
    <t>Reversal of dilution on issue of shares</t>
  </si>
  <si>
    <r>
      <t xml:space="preserve">LATEXX PARTNERS BERHAD </t>
    </r>
    <r>
      <rPr>
        <i/>
        <sz val="14"/>
        <rFont val="Arial"/>
        <family val="2"/>
      </rPr>
      <t>(86100-V)</t>
    </r>
  </si>
  <si>
    <r>
      <t xml:space="preserve">LATEXX PARTNERS BERHAD </t>
    </r>
    <r>
      <rPr>
        <b/>
        <i/>
        <sz val="12"/>
        <rFont val="Arial"/>
        <family val="2"/>
      </rPr>
      <t>(86100-V)</t>
    </r>
  </si>
  <si>
    <t>REVENUE</t>
  </si>
  <si>
    <t>LATEXX PARTNERS BERHAD</t>
  </si>
  <si>
    <t>30/06/02</t>
  </si>
  <si>
    <t>30/09/02</t>
  </si>
  <si>
    <t>EXCEPTIONAL ITEMS</t>
  </si>
  <si>
    <t>Note</t>
  </si>
  <si>
    <t>30/09/03</t>
  </si>
  <si>
    <t>30/06/03</t>
  </si>
  <si>
    <t>CONDENSED CONSOLIDATED BALANCE SHEETS AS AT 31.12.03</t>
  </si>
  <si>
    <t>31/12/03</t>
  </si>
  <si>
    <t>CASH &amp; CASH EQUIVALENTS AT END OF 4TH QUARTER</t>
  </si>
  <si>
    <t>For the year ended 31 Dec 2003</t>
  </si>
  <si>
    <t xml:space="preserve">    12 months period</t>
  </si>
  <si>
    <t>Tax Liabilities</t>
  </si>
  <si>
    <t>Bal. as at 31 Dec 2003</t>
  </si>
  <si>
    <t>Net Profit/(Loss) for the twelve months period</t>
  </si>
  <si>
    <t>FOR THE TWELVE MONTHS ENDED 31 DECEMBER 2003</t>
  </si>
  <si>
    <t>For the twelve months ended 31 Dec 2003</t>
  </si>
  <si>
    <t>Dilution arising from new issue</t>
  </si>
  <si>
    <t xml:space="preserve">   of shares in prior year overstated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</si>
</sst>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d/mmm"/>
    <numFmt numFmtId="182" formatCode="_(* #,##0.0000_);_(* \(#,##0.0000\);_(* &quot;-&quot;??_);_(@_)"/>
    <numFmt numFmtId="183" formatCode="_(* #,##0.000000_);_(* \(#,##0.000000\);_(* &quot;-&quot;??_);_(@_)"/>
    <numFmt numFmtId="184" formatCode="#,##0.0000_);\(#,##0.0000\)"/>
    <numFmt numFmtId="185" formatCode="_(* #,##0.000_);_(* \(#,##0.000\);_(* &quot;-&quot;??_);_(@_)"/>
    <numFmt numFmtId="186" formatCode="_(* #,##0.0_);_(* \(#,##0.0\);_(* &quot;-&quot;?_);_(@_)"/>
    <numFmt numFmtId="187" formatCode="_(* #,##0.000_);_(* \(#,##0.000\);_(* &quot;-&quot;???_);_(@_)"/>
    <numFmt numFmtId="188" formatCode="0.0000"/>
    <numFmt numFmtId="189" formatCode="0.00000"/>
    <numFmt numFmtId="190" formatCode="0.000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Alignment="1">
      <alignment/>
    </xf>
    <xf numFmtId="0" fontId="0" fillId="0" borderId="0" xfId="0" applyBorder="1" applyAlignment="1">
      <alignment/>
    </xf>
    <xf numFmtId="179" fontId="0" fillId="0" borderId="1" xfId="15" applyNumberFormat="1" applyBorder="1" applyAlignment="1">
      <alignment/>
    </xf>
    <xf numFmtId="179" fontId="0" fillId="0" borderId="2" xfId="15" applyNumberFormat="1" applyBorder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Border="1" applyAlignment="1">
      <alignment/>
    </xf>
    <xf numFmtId="179" fontId="0" fillId="0" borderId="3" xfId="15" applyNumberFormat="1" applyBorder="1" applyAlignment="1">
      <alignment/>
    </xf>
    <xf numFmtId="179" fontId="0" fillId="0" borderId="4" xfId="15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179" fontId="6" fillId="0" borderId="0" xfId="15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9" fontId="6" fillId="0" borderId="0" xfId="15" applyNumberFormat="1" applyFont="1" applyAlignment="1" quotePrefix="1">
      <alignment horizontal="center"/>
    </xf>
    <xf numFmtId="0" fontId="6" fillId="0" borderId="0" xfId="0" applyFont="1" applyAlignment="1">
      <alignment horizontal="right"/>
    </xf>
    <xf numFmtId="179" fontId="6" fillId="0" borderId="0" xfId="0" applyNumberFormat="1" applyFont="1" applyAlignment="1">
      <alignment/>
    </xf>
    <xf numFmtId="179" fontId="6" fillId="0" borderId="3" xfId="15" applyNumberFormat="1" applyFont="1" applyBorder="1" applyAlignment="1">
      <alignment/>
    </xf>
    <xf numFmtId="179" fontId="0" fillId="0" borderId="5" xfId="15" applyNumberFormat="1" applyBorder="1" applyAlignment="1">
      <alignment/>
    </xf>
    <xf numFmtId="179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179" fontId="6" fillId="0" borderId="6" xfId="15" applyNumberFormat="1" applyFont="1" applyBorder="1" applyAlignment="1">
      <alignment/>
    </xf>
    <xf numFmtId="43" fontId="6" fillId="0" borderId="7" xfId="15" applyFont="1" applyBorder="1" applyAlignment="1">
      <alignment/>
    </xf>
    <xf numFmtId="43" fontId="6" fillId="0" borderId="7" xfId="0" applyNumberFormat="1" applyFont="1" applyBorder="1" applyAlignment="1">
      <alignment/>
    </xf>
    <xf numFmtId="179" fontId="6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179" fontId="0" fillId="0" borderId="0" xfId="15" applyNumberFormat="1" applyAlignment="1">
      <alignment horizontal="left" indent="1"/>
    </xf>
    <xf numFmtId="179" fontId="0" fillId="0" borderId="3" xfId="15" applyNumberFormat="1" applyBorder="1" applyAlignment="1">
      <alignment horizontal="left" indent="1"/>
    </xf>
    <xf numFmtId="16" fontId="0" fillId="0" borderId="0" xfId="0" applyNumberFormat="1" applyAlignment="1">
      <alignment horizontal="center"/>
    </xf>
    <xf numFmtId="43" fontId="0" fillId="0" borderId="0" xfId="15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179" fontId="0" fillId="0" borderId="8" xfId="15" applyNumberFormat="1" applyBorder="1" applyAlignment="1">
      <alignment/>
    </xf>
    <xf numFmtId="179" fontId="0" fillId="0" borderId="8" xfId="15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179" fontId="1" fillId="0" borderId="0" xfId="15" applyNumberFormat="1" applyFont="1" applyAlignment="1">
      <alignment/>
    </xf>
    <xf numFmtId="179" fontId="1" fillId="0" borderId="0" xfId="15" applyNumberFormat="1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179" fontId="6" fillId="0" borderId="0" xfId="0" applyNumberFormat="1" applyFont="1" applyBorder="1" applyAlignment="1">
      <alignment/>
    </xf>
    <xf numFmtId="43" fontId="6" fillId="0" borderId="0" xfId="15" applyFont="1" applyBorder="1" applyAlignment="1">
      <alignment/>
    </xf>
    <xf numFmtId="179" fontId="0" fillId="0" borderId="9" xfId="15" applyNumberForma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" fontId="1" fillId="0" borderId="0" xfId="0" applyNumberFormat="1" applyFont="1" applyAlignment="1">
      <alignment/>
    </xf>
    <xf numFmtId="179" fontId="1" fillId="0" borderId="3" xfId="0" applyNumberFormat="1" applyFont="1" applyBorder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43" fontId="1" fillId="0" borderId="3" xfId="0" applyNumberFormat="1" applyFont="1" applyBorder="1" applyAlignment="1">
      <alignment/>
    </xf>
    <xf numFmtId="43" fontId="1" fillId="0" borderId="3" xfId="15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0" xfId="15" applyFont="1" applyBorder="1" applyAlignment="1">
      <alignment/>
    </xf>
    <xf numFmtId="179" fontId="1" fillId="0" borderId="6" xfId="15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 quotePrefix="1">
      <alignment/>
    </xf>
    <xf numFmtId="4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43" fontId="1" fillId="0" borderId="7" xfId="15" applyFont="1" applyBorder="1" applyAlignment="1">
      <alignment/>
    </xf>
    <xf numFmtId="179" fontId="1" fillId="0" borderId="7" xfId="15" applyNumberFormat="1" applyFont="1" applyBorder="1" applyAlignment="1">
      <alignment/>
    </xf>
    <xf numFmtId="179" fontId="1" fillId="0" borderId="0" xfId="15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79" fontId="14" fillId="0" borderId="0" xfId="15" applyNumberFormat="1" applyFont="1" applyAlignment="1">
      <alignment horizontal="right"/>
    </xf>
    <xf numFmtId="14" fontId="14" fillId="0" borderId="0" xfId="0" applyNumberFormat="1" applyFont="1" applyAlignment="1">
      <alignment horizontal="right"/>
    </xf>
    <xf numFmtId="179" fontId="14" fillId="0" borderId="0" xfId="15" applyNumberFormat="1" applyFont="1" applyAlignment="1" quotePrefix="1">
      <alignment horizontal="right"/>
    </xf>
    <xf numFmtId="179" fontId="0" fillId="0" borderId="0" xfId="15" applyNumberFormat="1" applyAlignment="1">
      <alignment horizontal="right"/>
    </xf>
    <xf numFmtId="179" fontId="0" fillId="0" borderId="0" xfId="15" applyNumberFormat="1" applyFont="1" applyAlignment="1">
      <alignment horizontal="right"/>
    </xf>
    <xf numFmtId="0" fontId="6" fillId="0" borderId="3" xfId="0" applyFont="1" applyBorder="1" applyAlignment="1">
      <alignment/>
    </xf>
    <xf numFmtId="179" fontId="6" fillId="0" borderId="3" xfId="0" applyNumberFormat="1" applyFont="1" applyBorder="1" applyAlignment="1">
      <alignment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10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center"/>
    </xf>
    <xf numFmtId="179" fontId="1" fillId="0" borderId="10" xfId="15" applyNumberFormat="1" applyFont="1" applyBorder="1" applyAlignment="1" quotePrefix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lidation\Consol-Sept%2002%20(Revise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onsol P&amp;L"/>
      <sheetName val="Consol BS"/>
      <sheetName val="Consol Adj"/>
      <sheetName val="intersales"/>
      <sheetName val="Inter-co"/>
      <sheetName val="MPI (BS)"/>
      <sheetName val="MPI (PL)"/>
      <sheetName val="Inventory"/>
      <sheetName val="MIT BS"/>
      <sheetName val="MIT PL"/>
      <sheetName val="E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workbookViewId="0" topLeftCell="B1">
      <selection activeCell="C30" sqref="C30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3.7109375" style="0" customWidth="1"/>
    <col min="4" max="4" width="4.7109375" style="0" customWidth="1"/>
    <col min="5" max="5" width="13.7109375" style="0" customWidth="1"/>
    <col min="7" max="7" width="10.7109375" style="0" customWidth="1"/>
    <col min="8" max="8" width="16.00390625" style="0" customWidth="1"/>
    <col min="9" max="9" width="4.7109375" style="0" customWidth="1"/>
    <col min="10" max="10" width="16.140625" style="0" customWidth="1"/>
    <col min="16" max="16" width="14.7109375" style="0" customWidth="1"/>
  </cols>
  <sheetData>
    <row r="1" ht="12.75">
      <c r="I1" s="1"/>
    </row>
    <row r="2" spans="1:15" s="13" customFormat="1" ht="16.5" customHeight="1">
      <c r="A2" s="98" t="s">
        <v>118</v>
      </c>
      <c r="B2" s="99"/>
      <c r="C2" s="99"/>
      <c r="D2" s="99"/>
      <c r="E2" s="99"/>
      <c r="F2" s="99"/>
      <c r="G2" s="99"/>
      <c r="H2" s="99"/>
      <c r="I2" s="99"/>
      <c r="J2" s="99"/>
      <c r="K2" s="14"/>
      <c r="L2" s="14"/>
      <c r="M2" s="14"/>
      <c r="N2" s="14"/>
      <c r="O2" s="15"/>
    </row>
    <row r="3" spans="1:10" ht="11.25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1.25" customHeight="1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ht="11.25" customHeight="1">
      <c r="A5" s="12"/>
      <c r="B5" s="2"/>
      <c r="C5" s="16"/>
      <c r="D5" s="16"/>
      <c r="E5" s="56"/>
      <c r="F5" s="2"/>
      <c r="G5" s="2"/>
      <c r="H5" s="2"/>
      <c r="I5" s="2"/>
      <c r="J5" s="2"/>
    </row>
    <row r="6" spans="1:14" s="17" customFormat="1" ht="15.75">
      <c r="A6" s="100" t="s">
        <v>128</v>
      </c>
      <c r="B6" s="100"/>
      <c r="C6" s="100"/>
      <c r="D6" s="100"/>
      <c r="E6" s="100"/>
      <c r="F6" s="100"/>
      <c r="G6" s="100"/>
      <c r="H6" s="100"/>
      <c r="I6" s="100"/>
      <c r="J6" s="100"/>
      <c r="K6" s="18"/>
      <c r="N6" s="18"/>
    </row>
    <row r="7" spans="1:14" s="17" customFormat="1" ht="18">
      <c r="A7" s="57"/>
      <c r="B7" s="57"/>
      <c r="C7" s="57"/>
      <c r="D7" s="57"/>
      <c r="E7" s="57"/>
      <c r="F7" s="57"/>
      <c r="G7" s="57"/>
      <c r="H7" s="57"/>
      <c r="I7" s="57"/>
      <c r="J7" s="57"/>
      <c r="K7" s="18"/>
      <c r="N7" s="18"/>
    </row>
    <row r="8" spans="1:14" s="17" customFormat="1" ht="15.75">
      <c r="A8" s="58"/>
      <c r="B8" s="58"/>
      <c r="C8" s="58"/>
      <c r="D8" s="58"/>
      <c r="E8" s="58"/>
      <c r="F8" s="58"/>
      <c r="G8" s="58"/>
      <c r="H8" s="58"/>
      <c r="I8" s="58"/>
      <c r="J8" s="58"/>
      <c r="K8" s="18"/>
      <c r="N8" s="18"/>
    </row>
    <row r="9" spans="1:16" s="17" customFormat="1" ht="15.75">
      <c r="A9" s="58"/>
      <c r="B9" s="58"/>
      <c r="C9" s="58"/>
      <c r="D9" s="58"/>
      <c r="E9" s="58"/>
      <c r="F9" s="58"/>
      <c r="G9" s="58"/>
      <c r="H9" s="59" t="s">
        <v>15</v>
      </c>
      <c r="I9" s="60"/>
      <c r="J9" s="59" t="s">
        <v>17</v>
      </c>
      <c r="K9" s="18"/>
      <c r="N9" s="18"/>
      <c r="P9" s="59" t="s">
        <v>15</v>
      </c>
    </row>
    <row r="10" spans="1:16" ht="12.75">
      <c r="A10" s="2"/>
      <c r="B10" s="2"/>
      <c r="C10" s="2"/>
      <c r="D10" s="2"/>
      <c r="E10" s="2"/>
      <c r="F10" s="2"/>
      <c r="G10" s="2"/>
      <c r="H10" s="61" t="s">
        <v>16</v>
      </c>
      <c r="I10" s="61"/>
      <c r="J10" s="61" t="s">
        <v>5</v>
      </c>
      <c r="P10" s="61" t="s">
        <v>16</v>
      </c>
    </row>
    <row r="11" spans="1:16" ht="12.75">
      <c r="A11" s="2"/>
      <c r="B11" s="2"/>
      <c r="C11" s="2"/>
      <c r="D11" s="2"/>
      <c r="E11" s="2"/>
      <c r="F11" s="2"/>
      <c r="G11" s="2"/>
      <c r="H11" s="61" t="s">
        <v>6</v>
      </c>
      <c r="I11" s="61"/>
      <c r="J11" s="61" t="s">
        <v>7</v>
      </c>
      <c r="P11" s="61" t="s">
        <v>6</v>
      </c>
    </row>
    <row r="12" spans="1:16" ht="12.75">
      <c r="A12" s="2"/>
      <c r="B12" s="2"/>
      <c r="C12" s="2"/>
      <c r="D12" s="2"/>
      <c r="E12" s="2"/>
      <c r="F12" s="2"/>
      <c r="G12" s="2"/>
      <c r="H12" s="61"/>
      <c r="I12" s="61"/>
      <c r="J12" s="61" t="s">
        <v>8</v>
      </c>
      <c r="P12" s="61"/>
    </row>
    <row r="13" spans="1:18" ht="12.75">
      <c r="A13" s="2"/>
      <c r="B13" s="2"/>
      <c r="C13" s="2"/>
      <c r="D13" s="2"/>
      <c r="E13" s="2"/>
      <c r="F13" s="2"/>
      <c r="G13" s="2"/>
      <c r="H13" s="62" t="s">
        <v>129</v>
      </c>
      <c r="I13" s="61"/>
      <c r="J13" s="62" t="s">
        <v>71</v>
      </c>
      <c r="P13" s="62" t="s">
        <v>86</v>
      </c>
      <c r="Q13" s="62" t="s">
        <v>127</v>
      </c>
      <c r="R13" s="62" t="s">
        <v>126</v>
      </c>
    </row>
    <row r="14" spans="1:18" ht="12.75">
      <c r="A14" s="2"/>
      <c r="B14" s="2"/>
      <c r="C14" s="2"/>
      <c r="D14" s="2"/>
      <c r="E14" s="2"/>
      <c r="F14" s="2"/>
      <c r="G14" s="2"/>
      <c r="H14" s="62" t="s">
        <v>9</v>
      </c>
      <c r="I14" s="61"/>
      <c r="J14" s="62" t="s">
        <v>9</v>
      </c>
      <c r="P14" s="62" t="s">
        <v>9</v>
      </c>
      <c r="Q14" s="62" t="s">
        <v>9</v>
      </c>
      <c r="R14" s="62" t="s">
        <v>9</v>
      </c>
    </row>
    <row r="16" spans="3:18" ht="12.75">
      <c r="C16" s="2" t="s">
        <v>18</v>
      </c>
      <c r="H16" s="3">
        <v>71977</v>
      </c>
      <c r="J16" s="7">
        <f>76288341/1000</f>
        <v>76288.341</v>
      </c>
      <c r="P16" s="3">
        <v>75128.73</v>
      </c>
      <c r="Q16" s="3">
        <v>73906.839</v>
      </c>
      <c r="R16" s="3">
        <v>73362.498</v>
      </c>
    </row>
    <row r="17" spans="3:18" ht="12.75">
      <c r="C17" t="s">
        <v>74</v>
      </c>
      <c r="H17" s="3">
        <f>1086.472</f>
        <v>1086.472</v>
      </c>
      <c r="J17" s="3">
        <f>1108540/1000</f>
        <v>1108.54</v>
      </c>
      <c r="P17" s="3">
        <v>1101.45</v>
      </c>
      <c r="Q17" s="3">
        <v>1083.908</v>
      </c>
      <c r="R17" s="3">
        <f>1076.817</f>
        <v>1076.817</v>
      </c>
    </row>
    <row r="18" ht="12.75">
      <c r="C18" s="2"/>
    </row>
    <row r="19" spans="3:18" ht="12.75">
      <c r="C19" s="2"/>
      <c r="H19" s="3"/>
      <c r="J19" s="3"/>
      <c r="P19" s="3"/>
      <c r="Q19" s="3"/>
      <c r="R19" s="3"/>
    </row>
    <row r="20" spans="8:18" ht="12.75">
      <c r="H20" s="3"/>
      <c r="J20" s="3"/>
      <c r="P20" s="3"/>
      <c r="Q20" s="3"/>
      <c r="R20" s="3"/>
    </row>
    <row r="21" spans="3:18" ht="12.75">
      <c r="C21" s="2" t="s">
        <v>1</v>
      </c>
      <c r="H21" s="10"/>
      <c r="J21" s="10"/>
      <c r="P21" s="10"/>
      <c r="Q21" s="10"/>
      <c r="R21" s="10"/>
    </row>
    <row r="22" spans="4:18" ht="12.75">
      <c r="D22" t="s">
        <v>2</v>
      </c>
      <c r="H22" s="5">
        <v>19124.681</v>
      </c>
      <c r="J22" s="5">
        <f>27364605/1000</f>
        <v>27364.605</v>
      </c>
      <c r="P22" s="5">
        <v>23869.59</v>
      </c>
      <c r="Q22" s="5">
        <v>23085.141</v>
      </c>
      <c r="R22" s="5">
        <f>20995.857</f>
        <v>20995.857</v>
      </c>
    </row>
    <row r="23" spans="4:18" ht="12.75">
      <c r="D23" t="s">
        <v>75</v>
      </c>
      <c r="H23" s="5">
        <v>10489.857</v>
      </c>
      <c r="J23" s="5">
        <f>14450688/1000</f>
        <v>14450.688</v>
      </c>
      <c r="P23" s="5">
        <v>13149.785</v>
      </c>
      <c r="Q23" s="5">
        <v>11309.924</v>
      </c>
      <c r="R23" s="5">
        <f>12033.943</f>
        <v>12033.943</v>
      </c>
    </row>
    <row r="24" spans="4:18" ht="12.75">
      <c r="D24" t="s">
        <v>10</v>
      </c>
      <c r="H24" s="5">
        <v>4893.236</v>
      </c>
      <c r="J24" s="5">
        <f>6143890/1000</f>
        <v>6143.89</v>
      </c>
      <c r="P24" s="5">
        <v>4929.384</v>
      </c>
      <c r="Q24" s="5">
        <v>4841.728</v>
      </c>
      <c r="R24" s="5">
        <f>4221.425</f>
        <v>4221.425</v>
      </c>
    </row>
    <row r="25" spans="4:18" ht="12.75">
      <c r="D25" t="s">
        <v>11</v>
      </c>
      <c r="H25" s="5">
        <f>3.967+171.601+0.17</f>
        <v>175.738</v>
      </c>
      <c r="J25" s="5">
        <f>943411/1000</f>
        <v>943.411</v>
      </c>
      <c r="P25" s="5">
        <f>1599.375+0.682</f>
        <v>1600.057</v>
      </c>
      <c r="Q25" s="5">
        <f>3.573+2319.466</f>
        <v>2323.0389999999998</v>
      </c>
      <c r="R25" s="5">
        <f>3.413+1698.045</f>
        <v>1701.458</v>
      </c>
    </row>
    <row r="26" spans="8:18" ht="12.75">
      <c r="H26" s="28">
        <f>SUM(H22:H25)</f>
        <v>34683.511999999995</v>
      </c>
      <c r="J26" s="28">
        <f>SUM(J22:J25)</f>
        <v>48902.594</v>
      </c>
      <c r="P26" s="28">
        <f>SUM(P22:P25)</f>
        <v>43548.816</v>
      </c>
      <c r="Q26" s="28">
        <f>SUM(Q22:Q25)</f>
        <v>41559.832</v>
      </c>
      <c r="R26" s="28">
        <f>SUM(R22:R25)</f>
        <v>38952.683000000005</v>
      </c>
    </row>
    <row r="27" spans="3:18" ht="12.75">
      <c r="C27" s="2" t="s">
        <v>12</v>
      </c>
      <c r="H27" s="5"/>
      <c r="J27" s="5"/>
      <c r="P27" s="5"/>
      <c r="Q27" s="5"/>
      <c r="R27" s="5"/>
    </row>
    <row r="28" spans="3:18" ht="12.75">
      <c r="C28" s="2"/>
      <c r="D28" t="s">
        <v>19</v>
      </c>
      <c r="H28" s="5">
        <f>21794.97</f>
        <v>21794.97</v>
      </c>
      <c r="J28" s="5">
        <f>24863594/1000</f>
        <v>24863.594</v>
      </c>
      <c r="P28" s="5">
        <f>21681.885</f>
        <v>21681.885</v>
      </c>
      <c r="Q28" s="5">
        <v>19955.535</v>
      </c>
      <c r="R28" s="5">
        <f>21101.497</f>
        <v>21101.497</v>
      </c>
    </row>
    <row r="29" spans="3:18" ht="12.75">
      <c r="C29" s="2"/>
      <c r="D29" t="s">
        <v>20</v>
      </c>
      <c r="H29" s="5">
        <f>7725.892+5804.668-0.4</f>
        <v>13530.16</v>
      </c>
      <c r="J29" s="5">
        <f>8360070/1000+1630897/1000</f>
        <v>9990.967</v>
      </c>
      <c r="P29" s="5">
        <f>8511.587+3219.585</f>
        <v>11731.171999999999</v>
      </c>
      <c r="Q29" s="5">
        <f>9845.578+4019.02</f>
        <v>13864.598</v>
      </c>
      <c r="R29" s="5">
        <f>9371.103+4443.02</f>
        <v>13814.123</v>
      </c>
    </row>
    <row r="30" spans="4:18" ht="12.75">
      <c r="D30" t="s">
        <v>68</v>
      </c>
      <c r="H30" s="5">
        <f>17685.143+25970.512+4594.327-0.4</f>
        <v>48249.581999999995</v>
      </c>
      <c r="J30" s="5">
        <f>31847677/1000+19218401/1000</f>
        <v>51066.078</v>
      </c>
      <c r="P30" s="5">
        <f>27187.458+17738.471+4791.346</f>
        <v>49717.275</v>
      </c>
      <c r="Q30" s="5">
        <f>26755.159+5570.961+17738.471</f>
        <v>50064.591</v>
      </c>
      <c r="R30" s="5">
        <f>17685.143+4325.597+27063.521</f>
        <v>49074.261</v>
      </c>
    </row>
    <row r="31" spans="4:18" ht="12.75">
      <c r="D31" t="s">
        <v>13</v>
      </c>
      <c r="H31" s="5">
        <f>5243.462</f>
        <v>5243.462</v>
      </c>
      <c r="J31" s="5">
        <f>1153411/1000+6024967/1000</f>
        <v>7178.378</v>
      </c>
      <c r="P31" s="5">
        <f>6684.292</f>
        <v>6684.292</v>
      </c>
      <c r="Q31" s="5">
        <f>6095.823</f>
        <v>6095.823</v>
      </c>
      <c r="R31" s="5">
        <f>5953.714</f>
        <v>5953.714</v>
      </c>
    </row>
    <row r="32" spans="4:18" ht="12.75">
      <c r="D32" t="s">
        <v>133</v>
      </c>
      <c r="H32" s="5">
        <v>3.322</v>
      </c>
      <c r="J32" s="5"/>
      <c r="P32" s="5"/>
      <c r="Q32" s="5"/>
      <c r="R32" s="5"/>
    </row>
    <row r="33" spans="8:18" ht="12.75">
      <c r="H33" s="6"/>
      <c r="J33" s="6"/>
      <c r="P33" s="6"/>
      <c r="Q33" s="6"/>
      <c r="R33" s="6"/>
    </row>
    <row r="34" spans="8:18" ht="12.75">
      <c r="H34" s="6">
        <f>SUM(H28:H33)</f>
        <v>88821.496</v>
      </c>
      <c r="J34" s="6">
        <f>SUM(J28:J33)</f>
        <v>93099.01699999999</v>
      </c>
      <c r="P34" s="6">
        <f>SUM(P28:P33)</f>
        <v>89814.624</v>
      </c>
      <c r="Q34" s="6">
        <f>SUM(Q28:Q33)</f>
        <v>89980.547</v>
      </c>
      <c r="R34" s="6">
        <f>SUM(R28:R33)</f>
        <v>89943.595</v>
      </c>
    </row>
    <row r="35" spans="8:18" ht="12.75">
      <c r="H35" s="3"/>
      <c r="J35" s="3"/>
      <c r="P35" s="3"/>
      <c r="Q35" s="3"/>
      <c r="R35" s="3"/>
    </row>
    <row r="36" spans="3:18" ht="12.75">
      <c r="C36" s="2" t="s">
        <v>76</v>
      </c>
      <c r="H36" s="3">
        <f>H26-H34+0.5</f>
        <v>-54137.484000000004</v>
      </c>
      <c r="J36" s="3">
        <f>J26-J34</f>
        <v>-44196.422999999995</v>
      </c>
      <c r="P36" s="3">
        <f>P26-P34</f>
        <v>-46265.808</v>
      </c>
      <c r="Q36" s="3">
        <f>Q26-Q34</f>
        <v>-48420.715000000004</v>
      </c>
      <c r="R36" s="3">
        <f>R26-R34</f>
        <v>-50990.912</v>
      </c>
    </row>
    <row r="37" spans="8:18" ht="12.75">
      <c r="H37" s="7" t="s">
        <v>3</v>
      </c>
      <c r="J37" s="7" t="s">
        <v>3</v>
      </c>
      <c r="P37" s="7" t="s">
        <v>3</v>
      </c>
      <c r="Q37" s="7" t="s">
        <v>3</v>
      </c>
      <c r="R37" s="7" t="s">
        <v>3</v>
      </c>
    </row>
    <row r="38" spans="8:18" ht="13.5" thickBot="1">
      <c r="H38" s="29">
        <f>H16+H17+H18+H19+H36</f>
        <v>18925.98799999999</v>
      </c>
      <c r="J38" s="29">
        <f>J16+J17+J18+J19+J36</f>
        <v>33200.458</v>
      </c>
      <c r="P38" s="29">
        <f>P16+P17+P18+P19+P36</f>
        <v>29964.371999999996</v>
      </c>
      <c r="Q38" s="29">
        <f>Q16+Q17+Q18+Q19+Q36</f>
        <v>26570.032</v>
      </c>
      <c r="R38" s="29">
        <f>R16+R17+R18+R19+R36</f>
        <v>23448.403000000006</v>
      </c>
    </row>
    <row r="39" spans="8:18" ht="13.5" thickTop="1">
      <c r="H39" s="8"/>
      <c r="J39" s="8"/>
      <c r="P39" s="8"/>
      <c r="Q39" s="8"/>
      <c r="R39" s="8"/>
    </row>
    <row r="40" spans="3:18" ht="12.75">
      <c r="C40" s="2"/>
      <c r="H40" s="3"/>
      <c r="J40" s="3"/>
      <c r="P40" s="3"/>
      <c r="Q40" s="3"/>
      <c r="R40" s="3"/>
    </row>
    <row r="41" spans="3:18" ht="12.75">
      <c r="C41" t="s">
        <v>77</v>
      </c>
      <c r="H41" s="8">
        <v>82330.811</v>
      </c>
      <c r="J41" s="8">
        <v>82330.811</v>
      </c>
      <c r="P41" s="8">
        <v>82330.811</v>
      </c>
      <c r="Q41" s="8">
        <v>82330.811</v>
      </c>
      <c r="R41" s="8">
        <v>82330.811</v>
      </c>
    </row>
    <row r="42" spans="3:18" ht="12.75">
      <c r="C42" t="s">
        <v>78</v>
      </c>
      <c r="H42" s="8"/>
      <c r="J42" s="8"/>
      <c r="P42" s="8"/>
      <c r="Q42" s="8"/>
      <c r="R42" s="8"/>
    </row>
    <row r="43" spans="4:18" ht="12.75">
      <c r="D43" t="s">
        <v>0</v>
      </c>
      <c r="H43" s="8">
        <v>6977.926</v>
      </c>
      <c r="J43" s="8">
        <f>6977.926+1798.874-1799</f>
        <v>6977.800000000001</v>
      </c>
      <c r="P43" s="8">
        <v>6977.926</v>
      </c>
      <c r="Q43" s="8">
        <v>6977.926</v>
      </c>
      <c r="R43" s="8">
        <v>6977.926</v>
      </c>
    </row>
    <row r="44" spans="4:18" ht="12.75">
      <c r="D44" t="s">
        <v>106</v>
      </c>
      <c r="H44" s="8">
        <v>1726</v>
      </c>
      <c r="J44" s="8">
        <f>1726</f>
        <v>1726</v>
      </c>
      <c r="P44" s="8">
        <v>1726</v>
      </c>
      <c r="Q44" s="8">
        <v>1726</v>
      </c>
      <c r="R44" s="8">
        <v>1726</v>
      </c>
    </row>
    <row r="45" spans="4:18" ht="12.75">
      <c r="D45" t="s">
        <v>107</v>
      </c>
      <c r="H45" s="8">
        <f>-152.895-352.136+0.4</f>
        <v>-504.6310000000001</v>
      </c>
      <c r="J45" s="8">
        <f>-351.227</f>
        <v>-351.227</v>
      </c>
      <c r="P45" s="8">
        <f>617.63-279.827</f>
        <v>337.803</v>
      </c>
      <c r="Q45" s="8">
        <v>48.594</v>
      </c>
      <c r="R45" s="8">
        <f>-442.544</f>
        <v>-442.544</v>
      </c>
    </row>
    <row r="46" spans="4:18" ht="12.75">
      <c r="D46" t="s">
        <v>108</v>
      </c>
      <c r="H46" s="8">
        <f>-73352.432</f>
        <v>-73352.432</v>
      </c>
      <c r="J46" s="8">
        <f>-60243.363+1799</f>
        <v>-58444.363</v>
      </c>
      <c r="P46" s="8">
        <v>-64493.688</v>
      </c>
      <c r="Q46" s="8">
        <f>-66640.66</f>
        <v>-66640.66</v>
      </c>
      <c r="R46" s="8">
        <f>-69098.834</f>
        <v>-69098.834</v>
      </c>
    </row>
    <row r="47" spans="3:18" ht="12.75">
      <c r="C47" t="s">
        <v>79</v>
      </c>
      <c r="H47" s="55">
        <f>SUM(H41:H46)</f>
        <v>17177.674000000014</v>
      </c>
      <c r="J47" s="55">
        <f>SUM(J41:J46)</f>
        <v>32239.021000000008</v>
      </c>
      <c r="P47" s="55">
        <f>SUM(P41:P46)</f>
        <v>26878.852000000006</v>
      </c>
      <c r="Q47" s="55">
        <f>SUM(Q41:Q46)</f>
        <v>24442.671000000002</v>
      </c>
      <c r="R47" s="55">
        <f>SUM(R41:R46)</f>
        <v>21493.35900000001</v>
      </c>
    </row>
    <row r="48" spans="3:18" ht="12.75">
      <c r="C48" t="s">
        <v>83</v>
      </c>
      <c r="H48" s="8">
        <f>-33.931</f>
        <v>-33.931</v>
      </c>
      <c r="J48" s="8">
        <v>-30.052</v>
      </c>
      <c r="P48" s="8">
        <v>-30</v>
      </c>
      <c r="Q48" s="8">
        <v>-27.423</v>
      </c>
      <c r="R48" s="8">
        <f>-12.161</f>
        <v>-12.161</v>
      </c>
    </row>
    <row r="49" spans="8:18" ht="12.75">
      <c r="H49" s="46">
        <f>+H47+H48</f>
        <v>17143.743000000013</v>
      </c>
      <c r="J49" s="46">
        <f>+J47+J48</f>
        <v>32208.96900000001</v>
      </c>
      <c r="P49" s="46">
        <f>+P47+P48</f>
        <v>26848.852000000006</v>
      </c>
      <c r="Q49" s="46">
        <f>+Q47+Q48</f>
        <v>24415.248000000003</v>
      </c>
      <c r="R49" s="46">
        <f>+R47+R48</f>
        <v>21481.19800000001</v>
      </c>
    </row>
    <row r="50" spans="3:18" ht="12.75">
      <c r="C50" t="s">
        <v>80</v>
      </c>
      <c r="H50" s="8"/>
      <c r="J50" s="8"/>
      <c r="P50" s="8"/>
      <c r="Q50" s="8"/>
      <c r="R50" s="8"/>
    </row>
    <row r="51" spans="4:18" ht="12.75">
      <c r="D51" t="s">
        <v>81</v>
      </c>
      <c r="H51" s="3">
        <f>61.767</f>
        <v>61.767</v>
      </c>
      <c r="J51" s="3">
        <f>91490/1000</f>
        <v>91.49</v>
      </c>
      <c r="P51" s="3">
        <f>82.358</f>
        <v>82.358</v>
      </c>
      <c r="Q51" s="3">
        <f>74.757</f>
        <v>74.757</v>
      </c>
      <c r="R51" s="3">
        <f>67.155</f>
        <v>67.155</v>
      </c>
    </row>
    <row r="52" spans="4:18" ht="12.75">
      <c r="D52" t="s">
        <v>82</v>
      </c>
      <c r="H52" s="8">
        <f>1720</f>
        <v>1720</v>
      </c>
      <c r="J52" s="8">
        <f>900000/1000</f>
        <v>900</v>
      </c>
      <c r="P52" s="8">
        <f>3032.653</f>
        <v>3032.653</v>
      </c>
      <c r="Q52" s="8">
        <f>2080</f>
        <v>2080</v>
      </c>
      <c r="R52" s="8">
        <f>1900</f>
        <v>1900</v>
      </c>
    </row>
    <row r="53" spans="8:18" ht="13.5" thickBot="1">
      <c r="H53" s="29">
        <f>+H49+H51+H52</f>
        <v>18925.510000000013</v>
      </c>
      <c r="J53" s="29">
        <f>+J49+J51+J52</f>
        <v>33200.45900000001</v>
      </c>
      <c r="P53" s="29">
        <f>+P49+P51+P52</f>
        <v>29963.863000000005</v>
      </c>
      <c r="Q53" s="29">
        <f>+Q49+Q51+Q52</f>
        <v>26570.005000000005</v>
      </c>
      <c r="R53" s="29">
        <f>+R49+R51+R52</f>
        <v>23448.35300000001</v>
      </c>
    </row>
    <row r="54" spans="10:17" ht="13.5" thickTop="1">
      <c r="J54" s="3"/>
      <c r="P54" s="3"/>
      <c r="Q54" s="3"/>
    </row>
    <row r="56" spans="8:10" ht="12.75">
      <c r="H56" s="8"/>
      <c r="J56" s="8"/>
    </row>
    <row r="57" spans="8:10" ht="12.75">
      <c r="H57" s="8"/>
      <c r="J57" s="8"/>
    </row>
    <row r="58" spans="3:10" ht="12.75">
      <c r="C58" t="s">
        <v>84</v>
      </c>
      <c r="H58" s="41">
        <f>(H47-H17)/(H41)</f>
        <v>0.19544568800615864</v>
      </c>
      <c r="I58" s="3"/>
      <c r="J58" s="41">
        <f>(J47-J17)/(J41)</f>
        <v>0.37811459187496654</v>
      </c>
    </row>
    <row r="59" spans="8:10" ht="12.75">
      <c r="H59" s="3"/>
      <c r="J59" s="3"/>
    </row>
    <row r="60" spans="8:10" ht="12.75">
      <c r="H60" s="3"/>
      <c r="J60" s="3"/>
    </row>
    <row r="61" spans="3:10" ht="12.75">
      <c r="C61" s="101" t="s">
        <v>85</v>
      </c>
      <c r="D61" s="101"/>
      <c r="E61" s="101"/>
      <c r="F61" s="101"/>
      <c r="G61" s="101"/>
      <c r="H61" s="101"/>
      <c r="I61" s="101"/>
      <c r="J61" s="101"/>
    </row>
    <row r="62" spans="3:10" ht="12.75">
      <c r="C62" s="101"/>
      <c r="D62" s="101"/>
      <c r="E62" s="101"/>
      <c r="F62" s="101"/>
      <c r="G62" s="101"/>
      <c r="H62" s="101"/>
      <c r="I62" s="101"/>
      <c r="J62" s="101"/>
    </row>
    <row r="63" spans="8:10" ht="12.75">
      <c r="H63" s="3"/>
      <c r="J63" s="3"/>
    </row>
    <row r="64" spans="8:10" ht="12.75">
      <c r="H64" s="3"/>
      <c r="J64" s="3"/>
    </row>
    <row r="65" spans="8:10" ht="12.75">
      <c r="H65" s="30"/>
      <c r="J65" s="3"/>
    </row>
    <row r="66" spans="8:10" ht="12.75">
      <c r="H66" s="3">
        <f>+H38-H53</f>
        <v>0.4779999999773281</v>
      </c>
      <c r="J66" s="3"/>
    </row>
    <row r="67" spans="8:10" ht="12.75">
      <c r="H67" s="8"/>
      <c r="J67" s="3"/>
    </row>
    <row r="68" spans="8:10" ht="12.75">
      <c r="H68" s="3"/>
      <c r="J68" s="3"/>
    </row>
    <row r="69" spans="8:10" ht="12.75">
      <c r="H69" s="3"/>
      <c r="J69" s="3"/>
    </row>
    <row r="70" spans="8:10" ht="12.75">
      <c r="H70" s="3"/>
      <c r="J70" s="3"/>
    </row>
    <row r="71" spans="8:10" ht="12.75">
      <c r="H71" s="3"/>
      <c r="J71" s="3"/>
    </row>
    <row r="72" spans="8:10" ht="12.75">
      <c r="H72" s="3"/>
      <c r="J72" s="3"/>
    </row>
    <row r="73" spans="8:10" ht="12.75">
      <c r="H73" s="3"/>
      <c r="J73" s="3"/>
    </row>
    <row r="74" spans="8:10" ht="12.75">
      <c r="H74" s="3"/>
      <c r="J74" s="3"/>
    </row>
    <row r="75" spans="8:10" ht="12.75">
      <c r="H75" s="3"/>
      <c r="J75" s="3"/>
    </row>
    <row r="76" spans="8:10" ht="12.75">
      <c r="H76" s="3"/>
      <c r="J76" s="3"/>
    </row>
    <row r="77" spans="8:10" ht="12.75">
      <c r="H77" s="3"/>
      <c r="J77" s="3"/>
    </row>
    <row r="78" spans="8:10" ht="12.75">
      <c r="H78" s="3"/>
      <c r="J78" s="3"/>
    </row>
    <row r="79" spans="8:10" ht="12.75">
      <c r="H79" s="3"/>
      <c r="J79" s="3"/>
    </row>
    <row r="80" spans="8:10" ht="12.75">
      <c r="H80" s="3"/>
      <c r="J80" s="3"/>
    </row>
    <row r="81" spans="8:10" ht="12.75">
      <c r="H81" s="3"/>
      <c r="J81" s="3"/>
    </row>
    <row r="82" ht="12.75">
      <c r="H82" s="3"/>
    </row>
    <row r="83" ht="12.75">
      <c r="H83" s="3"/>
    </row>
    <row r="84" ht="12.75">
      <c r="H84" s="3"/>
    </row>
    <row r="85" ht="12.75">
      <c r="H85" s="3"/>
    </row>
    <row r="86" ht="12.75">
      <c r="H86" s="3"/>
    </row>
    <row r="87" ht="12.75">
      <c r="H87" s="3"/>
    </row>
    <row r="88" ht="12.75">
      <c r="H88" s="3"/>
    </row>
    <row r="89" ht="12.75">
      <c r="H89" s="3"/>
    </row>
    <row r="90" ht="12.75">
      <c r="H90" s="3"/>
    </row>
  </sheetData>
  <mergeCells count="3">
    <mergeCell ref="A2:J4"/>
    <mergeCell ref="A6:J6"/>
    <mergeCell ref="C61:J62"/>
  </mergeCells>
  <printOptions/>
  <pageMargins left="0.75" right="0.75" top="0.5" bottom="0.25" header="0.5" footer="0.5"/>
  <pageSetup horizontalDpi="180" verticalDpi="18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54"/>
  <sheetViews>
    <sheetView tabSelected="1" workbookViewId="0" topLeftCell="B26">
      <selection activeCell="G52" sqref="G52"/>
    </sheetView>
  </sheetViews>
  <sheetFormatPr defaultColWidth="9.140625" defaultRowHeight="12.75"/>
  <cols>
    <col min="1" max="1" width="4.7109375" style="17" customWidth="1"/>
    <col min="2" max="2" width="1.7109375" style="17" customWidth="1"/>
    <col min="3" max="3" width="4.28125" style="17" customWidth="1"/>
    <col min="4" max="4" width="18.00390625" style="17" customWidth="1"/>
    <col min="5" max="5" width="6.8515625" style="17" customWidth="1"/>
    <col min="6" max="6" width="7.28125" style="17" customWidth="1"/>
    <col min="7" max="7" width="12.7109375" style="17" customWidth="1"/>
    <col min="8" max="8" width="1.7109375" style="17" customWidth="1"/>
    <col min="9" max="9" width="13.7109375" style="17" customWidth="1"/>
    <col min="10" max="10" width="3.7109375" style="17" customWidth="1"/>
    <col min="11" max="11" width="12.7109375" style="18" customWidth="1"/>
    <col min="12" max="12" width="1.7109375" style="17" customWidth="1"/>
    <col min="13" max="13" width="13.7109375" style="17" customWidth="1"/>
    <col min="14" max="14" width="8.00390625" style="17" customWidth="1"/>
    <col min="15" max="15" width="8.8515625" style="17" customWidth="1"/>
    <col min="16" max="20" width="9.140625" style="17" customWidth="1"/>
    <col min="21" max="21" width="10.28125" style="17" customWidth="1"/>
    <col min="22" max="22" width="11.7109375" style="17" customWidth="1"/>
    <col min="23" max="16384" width="9.140625" style="17" customWidth="1"/>
  </cols>
  <sheetData>
    <row r="3" spans="1:15" s="13" customFormat="1" ht="16.5" customHeight="1">
      <c r="A3" s="12"/>
      <c r="C3" s="98" t="s">
        <v>119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56"/>
      <c r="O3" s="56"/>
    </row>
    <row r="4" spans="1:15" ht="11.25" customHeight="1">
      <c r="A4" s="12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56"/>
      <c r="O4" s="56"/>
    </row>
    <row r="5" spans="1:15" ht="11.25" customHeight="1">
      <c r="A5" s="12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56"/>
      <c r="O5" s="56"/>
    </row>
    <row r="6" spans="1:15" ht="15" customHeight="1">
      <c r="A6" s="12" t="s">
        <v>3</v>
      </c>
      <c r="C6" s="112" t="s">
        <v>104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96"/>
      <c r="O6" s="96"/>
    </row>
    <row r="7" spans="1:15" ht="15" customHeight="1">
      <c r="A7" s="12"/>
      <c r="C7" s="111" t="s">
        <v>136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95"/>
      <c r="O7" s="95"/>
    </row>
    <row r="8" spans="1:15" ht="11.25" customHeight="1">
      <c r="A8" s="12"/>
      <c r="C8" s="16"/>
      <c r="D8" s="16"/>
      <c r="E8" s="56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.75">
      <c r="A9" s="19"/>
      <c r="B9" s="20"/>
      <c r="C9" s="31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ht="15.75">
      <c r="A10" s="19"/>
      <c r="B10" s="20"/>
      <c r="C10" s="31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ht="15.75">
      <c r="A11" s="19"/>
      <c r="B11" s="20"/>
      <c r="C11" s="31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3:15" ht="12.75">
      <c r="C12" s="1" t="s">
        <v>14</v>
      </c>
      <c r="D12" s="1"/>
      <c r="E12" s="1"/>
      <c r="F12" s="1"/>
      <c r="G12" s="102">
        <v>2003</v>
      </c>
      <c r="H12" s="103"/>
      <c r="I12" s="104"/>
      <c r="J12" s="1"/>
      <c r="K12" s="105" t="s">
        <v>87</v>
      </c>
      <c r="L12" s="106"/>
      <c r="M12" s="107"/>
      <c r="N12" s="97"/>
      <c r="O12" s="97"/>
    </row>
    <row r="13" spans="3:22" s="21" customFormat="1" ht="13.5" customHeight="1">
      <c r="C13" s="64"/>
      <c r="D13" s="64"/>
      <c r="E13" s="64"/>
      <c r="F13" s="64"/>
      <c r="G13" s="87" t="s">
        <v>92</v>
      </c>
      <c r="H13" s="87"/>
      <c r="I13" s="85" t="s">
        <v>89</v>
      </c>
      <c r="J13" s="85"/>
      <c r="K13" s="87" t="s">
        <v>92</v>
      </c>
      <c r="L13" s="85"/>
      <c r="M13" s="85" t="s">
        <v>89</v>
      </c>
      <c r="N13" s="85"/>
      <c r="O13" s="85"/>
      <c r="S13" s="87" t="s">
        <v>92</v>
      </c>
      <c r="T13" s="87" t="s">
        <v>92</v>
      </c>
      <c r="U13" s="87" t="s">
        <v>92</v>
      </c>
      <c r="V13" s="22" t="s">
        <v>89</v>
      </c>
    </row>
    <row r="14" spans="3:26" s="21" customFormat="1" ht="13.5" customHeight="1">
      <c r="C14" s="64"/>
      <c r="D14" s="64"/>
      <c r="E14" s="64"/>
      <c r="F14" s="64"/>
      <c r="G14" s="85" t="s">
        <v>6</v>
      </c>
      <c r="H14" s="85"/>
      <c r="I14" s="85" t="s">
        <v>6</v>
      </c>
      <c r="J14" s="85"/>
      <c r="K14" s="85" t="s">
        <v>90</v>
      </c>
      <c r="L14" s="85"/>
      <c r="M14" s="85" t="s">
        <v>90</v>
      </c>
      <c r="N14" s="85"/>
      <c r="O14" s="85"/>
      <c r="S14" s="85" t="s">
        <v>6</v>
      </c>
      <c r="T14" s="85" t="s">
        <v>6</v>
      </c>
      <c r="U14" s="85" t="s">
        <v>6</v>
      </c>
      <c r="V14" s="22" t="s">
        <v>90</v>
      </c>
      <c r="W14" s="85" t="s">
        <v>6</v>
      </c>
      <c r="X14" s="85" t="s">
        <v>6</v>
      </c>
      <c r="Y14" s="85" t="s">
        <v>6</v>
      </c>
      <c r="Z14" s="85" t="s">
        <v>6</v>
      </c>
    </row>
    <row r="15" spans="3:26" s="21" customFormat="1" ht="13.5" customHeight="1">
      <c r="C15" s="64"/>
      <c r="D15" s="64"/>
      <c r="E15" s="64"/>
      <c r="F15" s="64"/>
      <c r="G15" s="85" t="s">
        <v>91</v>
      </c>
      <c r="H15" s="85"/>
      <c r="I15" s="85" t="s">
        <v>91</v>
      </c>
      <c r="J15" s="85"/>
      <c r="K15" s="85" t="s">
        <v>91</v>
      </c>
      <c r="L15" s="85"/>
      <c r="M15" s="85" t="s">
        <v>91</v>
      </c>
      <c r="N15" s="85"/>
      <c r="O15" s="85"/>
      <c r="S15" s="85" t="s">
        <v>91</v>
      </c>
      <c r="T15" s="85" t="s">
        <v>91</v>
      </c>
      <c r="U15" s="85" t="s">
        <v>91</v>
      </c>
      <c r="V15" s="23" t="s">
        <v>91</v>
      </c>
      <c r="W15" s="85" t="s">
        <v>91</v>
      </c>
      <c r="X15" s="85" t="s">
        <v>91</v>
      </c>
      <c r="Y15" s="85" t="s">
        <v>91</v>
      </c>
      <c r="Z15" s="85" t="s">
        <v>91</v>
      </c>
    </row>
    <row r="16" spans="3:26" ht="12.75">
      <c r="C16" s="1"/>
      <c r="D16" s="1"/>
      <c r="E16" s="1"/>
      <c r="F16" s="1"/>
      <c r="G16" s="89" t="s">
        <v>129</v>
      </c>
      <c r="H16" s="85" t="s">
        <v>3</v>
      </c>
      <c r="I16" s="89" t="s">
        <v>71</v>
      </c>
      <c r="J16" s="85"/>
      <c r="K16" s="89" t="s">
        <v>129</v>
      </c>
      <c r="L16" s="85" t="s">
        <v>3</v>
      </c>
      <c r="M16" s="89" t="s">
        <v>71</v>
      </c>
      <c r="N16" s="89"/>
      <c r="O16" s="89"/>
      <c r="P16" s="23"/>
      <c r="Q16" s="23"/>
      <c r="R16" s="23"/>
      <c r="S16" s="88">
        <v>37894</v>
      </c>
      <c r="T16" s="88">
        <v>37802</v>
      </c>
      <c r="U16" s="88" t="s">
        <v>86</v>
      </c>
      <c r="V16" s="24" t="s">
        <v>71</v>
      </c>
      <c r="W16" s="89" t="s">
        <v>88</v>
      </c>
      <c r="X16" s="89" t="s">
        <v>122</v>
      </c>
      <c r="Y16" s="89" t="s">
        <v>123</v>
      </c>
      <c r="Z16" s="89" t="s">
        <v>71</v>
      </c>
    </row>
    <row r="17" spans="3:26" ht="12.75">
      <c r="C17" s="1"/>
      <c r="D17" s="1"/>
      <c r="E17" s="1"/>
      <c r="F17" s="1" t="s">
        <v>125</v>
      </c>
      <c r="G17" s="61" t="s">
        <v>4</v>
      </c>
      <c r="H17" s="61"/>
      <c r="I17" s="61" t="s">
        <v>4</v>
      </c>
      <c r="J17" s="86"/>
      <c r="K17" s="84" t="s">
        <v>4</v>
      </c>
      <c r="L17" s="61"/>
      <c r="M17" s="61" t="s">
        <v>4</v>
      </c>
      <c r="N17" s="61"/>
      <c r="O17" s="61"/>
      <c r="S17" s="61" t="s">
        <v>4</v>
      </c>
      <c r="T17" s="61" t="s">
        <v>4</v>
      </c>
      <c r="U17" s="61" t="s">
        <v>4</v>
      </c>
      <c r="V17" s="23" t="s">
        <v>4</v>
      </c>
      <c r="W17" s="61" t="s">
        <v>4</v>
      </c>
      <c r="X17" s="61" t="s">
        <v>4</v>
      </c>
      <c r="Y17" s="61" t="s">
        <v>4</v>
      </c>
      <c r="Z17" s="61" t="s">
        <v>4</v>
      </c>
    </row>
    <row r="18" spans="3:24" ht="12.75">
      <c r="C18" s="1"/>
      <c r="D18" s="1"/>
      <c r="E18" s="1"/>
      <c r="F18" s="1"/>
      <c r="G18" s="1"/>
      <c r="H18" s="1"/>
      <c r="I18" s="1"/>
      <c r="J18" s="65"/>
      <c r="K18" s="49"/>
      <c r="L18" s="1"/>
      <c r="M18" s="1"/>
      <c r="N18" s="1"/>
      <c r="O18" s="1"/>
      <c r="S18" s="1"/>
      <c r="U18" s="1"/>
      <c r="W18" s="1"/>
      <c r="X18" s="1"/>
    </row>
    <row r="19" spans="1:27" ht="12.75">
      <c r="A19" s="25"/>
      <c r="C19" s="2" t="s">
        <v>120</v>
      </c>
      <c r="D19" s="1"/>
      <c r="E19" s="1"/>
      <c r="F19" s="1"/>
      <c r="G19" s="66">
        <f>+K19-U19-T19-S19</f>
        <v>11123.061000000002</v>
      </c>
      <c r="H19" s="65"/>
      <c r="I19" s="50">
        <f>+Z19</f>
        <v>18558.964000000007</v>
      </c>
      <c r="J19" s="65"/>
      <c r="K19" s="50">
        <f>58606.896</f>
        <v>58606.896</v>
      </c>
      <c r="L19" s="65"/>
      <c r="M19" s="50">
        <f>+W19+X19+Y19+Z19</f>
        <v>86687.964</v>
      </c>
      <c r="N19" s="50"/>
      <c r="O19" s="50"/>
      <c r="P19" s="36"/>
      <c r="Q19" s="36"/>
      <c r="R19" s="36"/>
      <c r="S19" s="66">
        <v>17938</v>
      </c>
      <c r="T19" s="26">
        <v>17567</v>
      </c>
      <c r="U19" s="66">
        <v>11978.835</v>
      </c>
      <c r="V19" s="36">
        <f>86687964/1000</f>
        <v>86687.964</v>
      </c>
      <c r="W19" s="50">
        <f>28180</f>
        <v>28180</v>
      </c>
      <c r="X19" s="50">
        <v>24475</v>
      </c>
      <c r="Y19" s="18">
        <v>15474</v>
      </c>
      <c r="Z19" s="18">
        <f>+V19-Y19-X19-W19</f>
        <v>18558.964000000007</v>
      </c>
      <c r="AA19" s="26">
        <f>SUM(W19:Z19)</f>
        <v>86687.964</v>
      </c>
    </row>
    <row r="20" spans="1:26" ht="15">
      <c r="A20" s="25"/>
      <c r="C20" s="67"/>
      <c r="D20" s="1"/>
      <c r="E20" s="1"/>
      <c r="F20" s="1"/>
      <c r="G20" s="66"/>
      <c r="H20" s="65"/>
      <c r="I20" s="50"/>
      <c r="J20" s="65"/>
      <c r="K20" s="50"/>
      <c r="L20" s="65"/>
      <c r="M20" s="50"/>
      <c r="N20" s="50"/>
      <c r="O20" s="50"/>
      <c r="P20" s="36"/>
      <c r="Q20" s="36"/>
      <c r="R20" s="36"/>
      <c r="S20" s="66"/>
      <c r="U20" s="66"/>
      <c r="V20" s="36"/>
      <c r="W20" s="50"/>
      <c r="X20" s="50"/>
      <c r="Y20" s="18"/>
      <c r="Z20" s="18"/>
    </row>
    <row r="21" spans="1:27" ht="14.25">
      <c r="A21" s="25"/>
      <c r="C21" s="13" t="s">
        <v>93</v>
      </c>
      <c r="D21" s="1"/>
      <c r="E21" s="1"/>
      <c r="F21" s="1"/>
      <c r="G21" s="66">
        <f>+K21-U21-T21-S21</f>
        <v>-14823.760000000002</v>
      </c>
      <c r="H21" s="65"/>
      <c r="I21" s="66">
        <f>-I19-I23+I26</f>
        <v>-20453.964000000007</v>
      </c>
      <c r="J21" s="65"/>
      <c r="K21" s="66">
        <f>-69227.338-183.982</f>
        <v>-69411.32</v>
      </c>
      <c r="L21" s="65"/>
      <c r="M21" s="50">
        <f>+W21+X21+Y21+Z21</f>
        <v>-99734.964</v>
      </c>
      <c r="N21" s="50"/>
      <c r="O21" s="50"/>
      <c r="P21" s="36"/>
      <c r="Q21" s="36"/>
      <c r="R21" s="36"/>
      <c r="S21" s="66">
        <v>-19988.4</v>
      </c>
      <c r="T21" s="26">
        <v>-18988</v>
      </c>
      <c r="U21" s="66">
        <f>-15604.069-7.091</f>
        <v>-15611.16</v>
      </c>
      <c r="V21" s="53">
        <f>-V19-V23+V26</f>
        <v>-106811.435</v>
      </c>
      <c r="W21" s="66">
        <v>-28957</v>
      </c>
      <c r="X21" s="66">
        <f>-X19-X23+X26</f>
        <v>-32079</v>
      </c>
      <c r="Y21" s="66">
        <f>-Y19-Y23+Y26</f>
        <v>-18245</v>
      </c>
      <c r="Z21" s="66">
        <f>-Z19-Z23+Z26</f>
        <v>-20453.964000000007</v>
      </c>
      <c r="AA21" s="26">
        <f>SUM(W21:Z21)</f>
        <v>-99734.964</v>
      </c>
    </row>
    <row r="22" spans="1:26" ht="15">
      <c r="A22" s="25"/>
      <c r="C22" s="67"/>
      <c r="D22" s="1"/>
      <c r="E22" s="1"/>
      <c r="F22" s="1"/>
      <c r="G22" s="66"/>
      <c r="H22" s="65"/>
      <c r="I22" s="50"/>
      <c r="J22" s="65"/>
      <c r="K22" s="50"/>
      <c r="L22" s="65"/>
      <c r="M22" s="50"/>
      <c r="N22" s="50"/>
      <c r="O22" s="50"/>
      <c r="P22" s="36"/>
      <c r="Q22" s="36"/>
      <c r="R22" s="36"/>
      <c r="S22" s="66"/>
      <c r="U22" s="66"/>
      <c r="V22" s="36"/>
      <c r="W22" s="50"/>
      <c r="X22" s="50"/>
      <c r="Y22" s="18"/>
      <c r="Z22" s="18"/>
    </row>
    <row r="23" spans="3:27" ht="14.25">
      <c r="C23" s="13" t="s">
        <v>94</v>
      </c>
      <c r="D23" s="1"/>
      <c r="E23" s="1"/>
      <c r="F23" s="1"/>
      <c r="G23" s="66">
        <f>+K23-U23-T23-S23</f>
        <v>341.6170000000002</v>
      </c>
      <c r="H23" s="1"/>
      <c r="I23" s="49">
        <f>+Y23</f>
        <v>0</v>
      </c>
      <c r="J23" s="65"/>
      <c r="K23" s="49">
        <v>1734.17</v>
      </c>
      <c r="L23" s="1"/>
      <c r="M23" s="50">
        <f>+W23+X23+Y23+Z23</f>
        <v>357</v>
      </c>
      <c r="N23" s="50"/>
      <c r="O23" s="50"/>
      <c r="P23" s="18"/>
      <c r="Q23" s="18"/>
      <c r="R23" s="18"/>
      <c r="S23" s="66">
        <v>429</v>
      </c>
      <c r="T23" s="26">
        <v>417</v>
      </c>
      <c r="U23" s="68">
        <v>546.553</v>
      </c>
      <c r="V23" s="18">
        <f>356799/1000</f>
        <v>356.799</v>
      </c>
      <c r="W23" s="49">
        <v>176</v>
      </c>
      <c r="X23" s="49">
        <f>225-44</f>
        <v>181</v>
      </c>
      <c r="Y23" s="18"/>
      <c r="Z23" s="18"/>
      <c r="AA23" s="26">
        <f>SUM(W23:Z23)</f>
        <v>357</v>
      </c>
    </row>
    <row r="24" spans="3:26" ht="12.75">
      <c r="C24" s="1"/>
      <c r="D24" s="1"/>
      <c r="E24" s="1"/>
      <c r="F24" s="1"/>
      <c r="G24" s="65"/>
      <c r="H24" s="65"/>
      <c r="I24" s="50"/>
      <c r="J24" s="65"/>
      <c r="K24" s="50"/>
      <c r="L24" s="65"/>
      <c r="M24" s="50"/>
      <c r="N24" s="50"/>
      <c r="O24" s="50"/>
      <c r="P24" s="18"/>
      <c r="Q24" s="18"/>
      <c r="R24" s="18"/>
      <c r="S24" s="65"/>
      <c r="U24" s="65"/>
      <c r="V24" s="36"/>
      <c r="W24" s="50"/>
      <c r="X24" s="50"/>
      <c r="Y24" s="18"/>
      <c r="Z24" s="18"/>
    </row>
    <row r="25" spans="3:27" ht="12.75">
      <c r="C25" s="1"/>
      <c r="D25" s="1"/>
      <c r="E25" s="1"/>
      <c r="F25" s="1"/>
      <c r="G25" s="69"/>
      <c r="H25" s="65"/>
      <c r="I25" s="70"/>
      <c r="J25" s="65"/>
      <c r="K25" s="70"/>
      <c r="L25" s="65"/>
      <c r="M25" s="70"/>
      <c r="N25" s="50"/>
      <c r="O25" s="50"/>
      <c r="P25" s="18"/>
      <c r="Q25" s="18"/>
      <c r="R25" s="18"/>
      <c r="S25" s="69"/>
      <c r="T25" s="92"/>
      <c r="U25" s="69"/>
      <c r="V25" s="27"/>
      <c r="W25" s="70"/>
      <c r="X25" s="70"/>
      <c r="Y25" s="27"/>
      <c r="Z25" s="27"/>
      <c r="AA25" s="92"/>
    </row>
    <row r="26" spans="1:28" ht="12.75">
      <c r="A26" s="25"/>
      <c r="C26" s="1" t="s">
        <v>98</v>
      </c>
      <c r="D26" s="1"/>
      <c r="E26" s="1"/>
      <c r="F26" s="1"/>
      <c r="G26" s="71">
        <f>SUM(G19:G25)</f>
        <v>-3359.0820000000003</v>
      </c>
      <c r="H26" s="1"/>
      <c r="I26" s="50">
        <f>+Z26</f>
        <v>-1895</v>
      </c>
      <c r="J26" s="65"/>
      <c r="K26" s="71">
        <f>SUM(K19:K25)</f>
        <v>-9070.254000000006</v>
      </c>
      <c r="L26" s="1"/>
      <c r="M26" s="50">
        <f>SUM(M19:M25)</f>
        <v>-12690</v>
      </c>
      <c r="N26" s="50"/>
      <c r="O26" s="50"/>
      <c r="P26" s="18"/>
      <c r="Q26" s="18"/>
      <c r="R26" s="18"/>
      <c r="S26" s="71">
        <f>SUM(S19:S25)</f>
        <v>-1621.4000000000015</v>
      </c>
      <c r="T26" s="71">
        <v>-1003</v>
      </c>
      <c r="U26" s="71">
        <f>SUM(U19:U25)</f>
        <v>-3085.772000000001</v>
      </c>
      <c r="V26" s="18">
        <f>-19766672/1000</f>
        <v>-19766.672</v>
      </c>
      <c r="W26" s="50">
        <v>-601</v>
      </c>
      <c r="X26" s="49">
        <f>-3132-4892+601</f>
        <v>-7423</v>
      </c>
      <c r="Y26" s="49">
        <f>-10795+7423+601</f>
        <v>-2771</v>
      </c>
      <c r="Z26" s="49">
        <f>-12690+601+7423+2771</f>
        <v>-1895</v>
      </c>
      <c r="AA26" s="26">
        <f>SUM(W26:Z26)</f>
        <v>-12690</v>
      </c>
      <c r="AB26" s="26"/>
    </row>
    <row r="27" spans="1:26" ht="12.75">
      <c r="A27" s="25"/>
      <c r="C27" s="1"/>
      <c r="D27" s="1"/>
      <c r="E27" s="1"/>
      <c r="F27" s="1"/>
      <c r="G27" s="71"/>
      <c r="H27" s="1"/>
      <c r="I27" s="49"/>
      <c r="J27" s="65"/>
      <c r="K27" s="49"/>
      <c r="L27" s="1"/>
      <c r="M27" s="49"/>
      <c r="N27" s="49"/>
      <c r="O27" s="49"/>
      <c r="P27" s="18"/>
      <c r="Q27" s="18"/>
      <c r="R27" s="18"/>
      <c r="S27" s="71"/>
      <c r="T27" s="71"/>
      <c r="U27" s="71"/>
      <c r="V27" s="18"/>
      <c r="W27" s="49"/>
      <c r="X27" s="49"/>
      <c r="Y27" s="49"/>
      <c r="Z27" s="49"/>
    </row>
    <row r="28" spans="3:26" ht="12.75">
      <c r="C28" s="1"/>
      <c r="D28" s="1"/>
      <c r="E28" s="1"/>
      <c r="F28" s="1"/>
      <c r="G28" s="1"/>
      <c r="H28" s="1"/>
      <c r="I28" s="49"/>
      <c r="J28" s="65"/>
      <c r="K28" s="49"/>
      <c r="L28" s="1"/>
      <c r="M28" s="49"/>
      <c r="N28" s="49"/>
      <c r="O28" s="49"/>
      <c r="P28" s="18"/>
      <c r="Q28" s="18"/>
      <c r="R28" s="18"/>
      <c r="S28" s="1"/>
      <c r="T28" s="1"/>
      <c r="U28" s="1"/>
      <c r="V28" s="18"/>
      <c r="W28" s="49"/>
      <c r="X28" s="49"/>
      <c r="Y28" s="49"/>
      <c r="Z28" s="49"/>
    </row>
    <row r="29" spans="1:27" ht="12.75">
      <c r="A29" s="25"/>
      <c r="C29" s="2" t="s">
        <v>95</v>
      </c>
      <c r="D29" s="1"/>
      <c r="E29" s="1"/>
      <c r="F29" s="1"/>
      <c r="G29" s="66">
        <f>+K29-U29-T29-S29+0.4</f>
        <v>-913.2490000000001</v>
      </c>
      <c r="H29" s="1"/>
      <c r="I29" s="50">
        <f>+Z29</f>
        <v>-1233</v>
      </c>
      <c r="J29" s="65"/>
      <c r="K29" s="49">
        <f>-4040.172+0.054</f>
        <v>-4040.118</v>
      </c>
      <c r="L29" s="1"/>
      <c r="M29" s="50">
        <f>+W29+X29+Y29+Z29</f>
        <v>-4690.532999999999</v>
      </c>
      <c r="N29" s="50"/>
      <c r="O29" s="50"/>
      <c r="P29" s="18"/>
      <c r="Q29" s="18"/>
      <c r="R29" s="18"/>
      <c r="S29" s="66">
        <v>-821.45</v>
      </c>
      <c r="T29" s="71">
        <v>-1141</v>
      </c>
      <c r="U29" s="71">
        <v>-1164.019</v>
      </c>
      <c r="V29" s="18">
        <f>-4690893/1000</f>
        <v>-4690.893</v>
      </c>
      <c r="W29" s="49">
        <v>-1286</v>
      </c>
      <c r="X29" s="49">
        <f>1286-2431.533</f>
        <v>-1145.533</v>
      </c>
      <c r="Y29" s="49">
        <v>-1026</v>
      </c>
      <c r="Z29" s="49">
        <v>-1233</v>
      </c>
      <c r="AA29" s="26">
        <f>SUM(W29:Z29)</f>
        <v>-4690.532999999999</v>
      </c>
    </row>
    <row r="30" spans="3:26" ht="12.75">
      <c r="C30" s="2"/>
      <c r="D30" s="1"/>
      <c r="E30" s="1"/>
      <c r="F30" s="1"/>
      <c r="G30" s="71"/>
      <c r="H30" s="1"/>
      <c r="I30" s="49"/>
      <c r="J30" s="65"/>
      <c r="K30" s="49"/>
      <c r="L30" s="1"/>
      <c r="M30" s="49"/>
      <c r="N30" s="49"/>
      <c r="O30" s="49"/>
      <c r="P30" s="18"/>
      <c r="Q30" s="18"/>
      <c r="R30" s="18"/>
      <c r="S30" s="71"/>
      <c r="T30" s="71">
        <v>0</v>
      </c>
      <c r="U30" s="71">
        <v>0</v>
      </c>
      <c r="V30" s="18">
        <f>'[1]Consol P&amp;L'!AA19</f>
        <v>0</v>
      </c>
      <c r="W30" s="49">
        <f>'[1]Consol P&amp;L'!AB19</f>
        <v>0</v>
      </c>
      <c r="X30" s="49">
        <f>'[1]Consol P&amp;L'!AC19</f>
        <v>0</v>
      </c>
      <c r="Y30" s="49">
        <f>'[1]Consol P&amp;L'!AD19</f>
        <v>0</v>
      </c>
      <c r="Z30" s="49">
        <f>'[1]Consol P&amp;L'!AE19</f>
        <v>0</v>
      </c>
    </row>
    <row r="31" spans="3:27" ht="12.75">
      <c r="C31" s="2" t="s">
        <v>124</v>
      </c>
      <c r="D31" s="1"/>
      <c r="E31" s="1"/>
      <c r="F31" s="1"/>
      <c r="G31" s="71"/>
      <c r="H31" s="1"/>
      <c r="I31" s="50">
        <f>+Z31</f>
        <v>-7077</v>
      </c>
      <c r="J31" s="65"/>
      <c r="K31" s="49"/>
      <c r="L31" s="1"/>
      <c r="M31" s="50">
        <f>+W31+X31+Y31+Z31</f>
        <v>-7077</v>
      </c>
      <c r="N31" s="50"/>
      <c r="O31" s="50"/>
      <c r="P31" s="18"/>
      <c r="Q31" s="18"/>
      <c r="R31" s="18"/>
      <c r="S31" s="71"/>
      <c r="T31" s="71"/>
      <c r="U31" s="71"/>
      <c r="V31" s="18"/>
      <c r="W31" s="49"/>
      <c r="X31" s="49"/>
      <c r="Y31" s="49"/>
      <c r="Z31" s="49">
        <v>-7077</v>
      </c>
      <c r="AA31" s="26">
        <f>SUM(W31:Z31)</f>
        <v>-7077</v>
      </c>
    </row>
    <row r="32" spans="3:26" ht="12.75">
      <c r="C32" s="2"/>
      <c r="D32" s="1"/>
      <c r="E32" s="1"/>
      <c r="F32" s="1"/>
      <c r="G32" s="71"/>
      <c r="H32" s="1"/>
      <c r="I32" s="49"/>
      <c r="J32" s="65"/>
      <c r="K32" s="49"/>
      <c r="L32" s="1"/>
      <c r="M32" s="49"/>
      <c r="N32" s="49"/>
      <c r="O32" s="49"/>
      <c r="P32" s="18"/>
      <c r="Q32" s="18"/>
      <c r="R32" s="18"/>
      <c r="S32" s="71"/>
      <c r="T32" s="71"/>
      <c r="U32" s="71"/>
      <c r="V32" s="18"/>
      <c r="W32" s="49"/>
      <c r="X32" s="49"/>
      <c r="Y32" s="49"/>
      <c r="Z32" s="49"/>
    </row>
    <row r="33" spans="3:26" ht="12.75">
      <c r="C33" s="2" t="s">
        <v>96</v>
      </c>
      <c r="D33" s="1"/>
      <c r="E33" s="1"/>
      <c r="F33" s="1"/>
      <c r="G33" s="71"/>
      <c r="H33" s="1"/>
      <c r="I33" s="49"/>
      <c r="J33" s="65"/>
      <c r="K33" s="49"/>
      <c r="L33" s="1"/>
      <c r="M33" s="49"/>
      <c r="N33" s="49"/>
      <c r="O33" s="49"/>
      <c r="P33" s="18"/>
      <c r="Q33" s="18"/>
      <c r="R33" s="18"/>
      <c r="S33" s="71"/>
      <c r="T33" s="71"/>
      <c r="U33" s="71"/>
      <c r="V33" s="18"/>
      <c r="W33" s="49"/>
      <c r="X33" s="49"/>
      <c r="Y33" s="49"/>
      <c r="Z33" s="49"/>
    </row>
    <row r="34" spans="1:27" ht="12.75">
      <c r="A34" s="25"/>
      <c r="C34" s="1"/>
      <c r="D34" s="2" t="s">
        <v>97</v>
      </c>
      <c r="E34" s="1"/>
      <c r="F34" s="1"/>
      <c r="G34" s="69">
        <v>0</v>
      </c>
      <c r="H34" s="72"/>
      <c r="I34" s="70"/>
      <c r="J34" s="65"/>
      <c r="K34" s="70">
        <f>+G34</f>
        <v>0</v>
      </c>
      <c r="L34" s="72"/>
      <c r="M34" s="70">
        <f>+W34+X34+Y34</f>
        <v>1816.497</v>
      </c>
      <c r="N34" s="50"/>
      <c r="O34" s="50"/>
      <c r="P34" s="18"/>
      <c r="Q34" s="18"/>
      <c r="R34" s="18"/>
      <c r="S34" s="69">
        <v>0</v>
      </c>
      <c r="T34" s="69">
        <v>0</v>
      </c>
      <c r="U34" s="69">
        <v>0</v>
      </c>
      <c r="V34" s="27">
        <v>1816</v>
      </c>
      <c r="W34" s="70"/>
      <c r="X34" s="70">
        <v>1816.497</v>
      </c>
      <c r="Y34" s="70"/>
      <c r="Z34" s="70"/>
      <c r="AA34" s="93">
        <f>SUM(W34:Z34)</f>
        <v>1816.497</v>
      </c>
    </row>
    <row r="35" spans="1:26" ht="12.75">
      <c r="A35" s="25"/>
      <c r="C35" s="2"/>
      <c r="D35" s="1"/>
      <c r="E35" s="1"/>
      <c r="F35" s="1"/>
      <c r="G35" s="66"/>
      <c r="H35" s="65"/>
      <c r="I35" s="50"/>
      <c r="J35" s="65"/>
      <c r="K35" s="50"/>
      <c r="L35" s="65"/>
      <c r="M35" s="50"/>
      <c r="N35" s="50"/>
      <c r="O35" s="50"/>
      <c r="P35" s="18"/>
      <c r="Q35" s="18"/>
      <c r="R35" s="18"/>
      <c r="S35" s="66"/>
      <c r="T35" s="66"/>
      <c r="U35" s="66"/>
      <c r="V35" s="36"/>
      <c r="W35" s="50"/>
      <c r="X35" s="50"/>
      <c r="Y35" s="50"/>
      <c r="Z35" s="50"/>
    </row>
    <row r="36" spans="3:28" ht="15">
      <c r="C36" s="67" t="s">
        <v>99</v>
      </c>
      <c r="D36" s="1"/>
      <c r="E36" s="1"/>
      <c r="F36" s="1"/>
      <c r="G36" s="49">
        <f>+G26+G29+G34</f>
        <v>-4272.331</v>
      </c>
      <c r="H36" s="1"/>
      <c r="I36" s="49">
        <f>+I26+I29+I34+I31</f>
        <v>-10205</v>
      </c>
      <c r="J36" s="65"/>
      <c r="K36" s="49">
        <f>+K26+K29+K34</f>
        <v>-13110.372000000007</v>
      </c>
      <c r="L36" s="1"/>
      <c r="M36" s="49">
        <f>+M26+M29+M34+M31</f>
        <v>-22641.036</v>
      </c>
      <c r="N36" s="49"/>
      <c r="O36" s="49"/>
      <c r="S36" s="49">
        <f>+S26+S29+S34</f>
        <v>-2442.8500000000013</v>
      </c>
      <c r="T36" s="49">
        <f aca="true" t="shared" si="0" ref="T36:Y36">+T26+T29+T34</f>
        <v>-2144</v>
      </c>
      <c r="U36" s="49">
        <f t="shared" si="0"/>
        <v>-4249.791000000001</v>
      </c>
      <c r="V36" s="18">
        <f t="shared" si="0"/>
        <v>-22641.565</v>
      </c>
      <c r="W36" s="49">
        <f t="shared" si="0"/>
        <v>-1887</v>
      </c>
      <c r="X36" s="49">
        <f t="shared" si="0"/>
        <v>-6752.035999999999</v>
      </c>
      <c r="Y36" s="49">
        <f t="shared" si="0"/>
        <v>-3797</v>
      </c>
      <c r="Z36" s="49">
        <f>+Z26+Z29+Z34+Z31</f>
        <v>-10205</v>
      </c>
      <c r="AA36" s="49">
        <f>+AA26+AA29+AA34+AA31</f>
        <v>-22641.036</v>
      </c>
      <c r="AB36" s="26"/>
    </row>
    <row r="37" spans="3:27" ht="15">
      <c r="C37" s="67"/>
      <c r="D37" s="1"/>
      <c r="E37" s="1"/>
      <c r="F37" s="1"/>
      <c r="G37" s="49"/>
      <c r="H37" s="1"/>
      <c r="I37" s="49"/>
      <c r="J37" s="65"/>
      <c r="K37" s="49"/>
      <c r="L37" s="1"/>
      <c r="M37" s="49"/>
      <c r="N37" s="49"/>
      <c r="O37" s="49"/>
      <c r="S37" s="49"/>
      <c r="T37" s="49"/>
      <c r="U37" s="49"/>
      <c r="V37" s="18"/>
      <c r="W37" s="49"/>
      <c r="X37" s="49"/>
      <c r="Y37" s="49"/>
      <c r="Z37" s="49"/>
      <c r="AA37" s="49"/>
    </row>
    <row r="38" spans="3:27" ht="12.75">
      <c r="C38" s="2" t="s">
        <v>100</v>
      </c>
      <c r="D38" s="1"/>
      <c r="E38" s="1"/>
      <c r="F38" s="1"/>
      <c r="G38" s="69">
        <f>+K38-U38-T38-S38</f>
        <v>-2.85</v>
      </c>
      <c r="H38" s="72"/>
      <c r="I38" s="70">
        <f>+Z38</f>
        <v>-2</v>
      </c>
      <c r="J38" s="65"/>
      <c r="K38" s="70">
        <f>-2.85</f>
        <v>-2.85</v>
      </c>
      <c r="L38" s="72"/>
      <c r="M38" s="70">
        <f>+W38+X38+Y38+Z38</f>
        <v>-2</v>
      </c>
      <c r="N38" s="50"/>
      <c r="O38" s="50"/>
      <c r="S38" s="73">
        <v>0</v>
      </c>
      <c r="T38" s="73">
        <v>0</v>
      </c>
      <c r="U38" s="73">
        <v>0</v>
      </c>
      <c r="V38" s="27">
        <f>-1900/1000</f>
        <v>-1.9</v>
      </c>
      <c r="W38" s="70"/>
      <c r="X38" s="74">
        <f>'[1]Consol P&amp;L'!V24</f>
        <v>0</v>
      </c>
      <c r="Y38" s="74">
        <f>'[1]Consol P&amp;L'!W24</f>
        <v>0</v>
      </c>
      <c r="Z38" s="70">
        <v>-2</v>
      </c>
      <c r="AA38" s="70">
        <v>-2</v>
      </c>
    </row>
    <row r="39" spans="3:26" ht="12.75">
      <c r="C39" s="2"/>
      <c r="D39" s="1"/>
      <c r="E39" s="1"/>
      <c r="F39" s="1"/>
      <c r="G39" s="75"/>
      <c r="H39" s="65"/>
      <c r="I39" s="76"/>
      <c r="J39" s="65"/>
      <c r="K39" s="50"/>
      <c r="L39" s="65"/>
      <c r="M39" s="76"/>
      <c r="N39" s="76"/>
      <c r="O39" s="76"/>
      <c r="S39" s="75"/>
      <c r="T39" s="75"/>
      <c r="U39" s="75"/>
      <c r="V39" s="54"/>
      <c r="W39" s="76"/>
      <c r="X39" s="76"/>
      <c r="Y39" s="76"/>
      <c r="Z39" s="76"/>
    </row>
    <row r="40" spans="3:27" ht="15">
      <c r="C40" s="67" t="s">
        <v>101</v>
      </c>
      <c r="D40" s="1"/>
      <c r="E40" s="1"/>
      <c r="F40" s="1"/>
      <c r="G40" s="49">
        <f>+G36+G38</f>
        <v>-4275.1810000000005</v>
      </c>
      <c r="H40" s="1"/>
      <c r="I40" s="49">
        <f>+I36+I38</f>
        <v>-10207</v>
      </c>
      <c r="J40" s="65"/>
      <c r="K40" s="49">
        <f>+K36+K38</f>
        <v>-13113.222000000007</v>
      </c>
      <c r="L40" s="1"/>
      <c r="M40" s="49">
        <f>+M36+M38</f>
        <v>-22643.036</v>
      </c>
      <c r="N40" s="49"/>
      <c r="O40" s="49"/>
      <c r="S40" s="49">
        <f>+S36+S38</f>
        <v>-2442.8500000000013</v>
      </c>
      <c r="T40" s="49">
        <f>+T36+T38</f>
        <v>-2144</v>
      </c>
      <c r="U40" s="49">
        <f aca="true" t="shared" si="1" ref="U40:AA40">+U36+U38</f>
        <v>-4249.791000000001</v>
      </c>
      <c r="V40" s="18">
        <f t="shared" si="1"/>
        <v>-22643.465</v>
      </c>
      <c r="W40" s="49">
        <f t="shared" si="1"/>
        <v>-1887</v>
      </c>
      <c r="X40" s="49">
        <f t="shared" si="1"/>
        <v>-6752.035999999999</v>
      </c>
      <c r="Y40" s="49">
        <f t="shared" si="1"/>
        <v>-3797</v>
      </c>
      <c r="Z40" s="49">
        <f t="shared" si="1"/>
        <v>-10207</v>
      </c>
      <c r="AA40" s="49">
        <f t="shared" si="1"/>
        <v>-22643.036</v>
      </c>
    </row>
    <row r="41" spans="3:26" ht="12.75">
      <c r="C41" s="1"/>
      <c r="D41" s="1"/>
      <c r="E41" s="1"/>
      <c r="F41" s="1"/>
      <c r="G41" s="1"/>
      <c r="H41" s="1"/>
      <c r="I41" s="1"/>
      <c r="J41" s="65"/>
      <c r="K41" s="49"/>
      <c r="L41" s="1"/>
      <c r="M41" s="1"/>
      <c r="N41" s="1"/>
      <c r="O41" s="1"/>
      <c r="S41" s="1"/>
      <c r="T41" s="1"/>
      <c r="U41" s="1"/>
      <c r="W41" s="1"/>
      <c r="X41" s="1"/>
      <c r="Y41" s="1"/>
      <c r="Z41" s="1"/>
    </row>
    <row r="42" spans="3:27" ht="12.75">
      <c r="C42" s="2" t="s">
        <v>103</v>
      </c>
      <c r="D42" s="1"/>
      <c r="E42" s="1"/>
      <c r="F42" s="1"/>
      <c r="G42" s="66">
        <f>+K42-U42-T42-S42</f>
        <v>21.415</v>
      </c>
      <c r="H42" s="65"/>
      <c r="I42" s="50">
        <f>+Z42</f>
        <v>20</v>
      </c>
      <c r="J42" s="65"/>
      <c r="K42" s="50">
        <v>3.878</v>
      </c>
      <c r="L42" s="65"/>
      <c r="M42" s="50">
        <f>+W42+X42+Y42+Z42</f>
        <v>40</v>
      </c>
      <c r="N42" s="50"/>
      <c r="O42" s="50"/>
      <c r="S42" s="66">
        <v>-15</v>
      </c>
      <c r="T42" s="66">
        <v>-2</v>
      </c>
      <c r="U42" s="66">
        <v>-0.537</v>
      </c>
      <c r="V42" s="36">
        <f>40422/1000</f>
        <v>40.422</v>
      </c>
      <c r="W42" s="50">
        <v>-1</v>
      </c>
      <c r="X42" s="50"/>
      <c r="Y42" s="50">
        <v>21</v>
      </c>
      <c r="Z42" s="50">
        <v>20</v>
      </c>
      <c r="AA42" s="17">
        <v>40</v>
      </c>
    </row>
    <row r="43" spans="3:26" ht="12.75">
      <c r="C43" s="2"/>
      <c r="D43" s="1"/>
      <c r="E43" s="1"/>
      <c r="F43" s="1"/>
      <c r="G43" s="66"/>
      <c r="H43" s="65"/>
      <c r="I43" s="50"/>
      <c r="J43" s="65"/>
      <c r="K43" s="50"/>
      <c r="L43" s="65"/>
      <c r="M43" s="50"/>
      <c r="N43" s="50"/>
      <c r="O43" s="50"/>
      <c r="S43" s="66"/>
      <c r="T43" s="66"/>
      <c r="U43" s="66"/>
      <c r="V43" s="36"/>
      <c r="W43" s="50"/>
      <c r="X43" s="50"/>
      <c r="Y43" s="50"/>
      <c r="Z43" s="50"/>
    </row>
    <row r="44" spans="3:27" ht="13.5" thickBot="1">
      <c r="C44" s="1" t="s">
        <v>102</v>
      </c>
      <c r="D44" s="1"/>
      <c r="E44" s="1"/>
      <c r="F44" s="1"/>
      <c r="G44" s="77">
        <f>+G40+G42-0.1</f>
        <v>-4253.866000000001</v>
      </c>
      <c r="H44" s="77"/>
      <c r="I44" s="77">
        <f>+I40+I42</f>
        <v>-10187</v>
      </c>
      <c r="J44" s="65"/>
      <c r="K44" s="77">
        <f>+K40+K42</f>
        <v>-13109.344000000006</v>
      </c>
      <c r="L44" s="78"/>
      <c r="M44" s="77">
        <f>+M40+M42</f>
        <v>-22603.036</v>
      </c>
      <c r="N44" s="50"/>
      <c r="O44" s="50"/>
      <c r="S44" s="77">
        <f>+S40+S42</f>
        <v>-2457.8500000000013</v>
      </c>
      <c r="T44" s="77">
        <f>+T40+T42</f>
        <v>-2146</v>
      </c>
      <c r="U44" s="77">
        <f aca="true" t="shared" si="2" ref="U44:AA44">+U40+U42</f>
        <v>-4250.328000000001</v>
      </c>
      <c r="V44" s="33">
        <f t="shared" si="2"/>
        <v>-22603.043</v>
      </c>
      <c r="W44" s="77">
        <f t="shared" si="2"/>
        <v>-1888</v>
      </c>
      <c r="X44" s="77">
        <f t="shared" si="2"/>
        <v>-6752.035999999999</v>
      </c>
      <c r="Y44" s="77">
        <f t="shared" si="2"/>
        <v>-3776</v>
      </c>
      <c r="Z44" s="77">
        <f t="shared" si="2"/>
        <v>-10187</v>
      </c>
      <c r="AA44" s="77">
        <f t="shared" si="2"/>
        <v>-22603.036</v>
      </c>
    </row>
    <row r="45" spans="3:27" ht="13.5" thickTop="1">
      <c r="C45" s="1"/>
      <c r="D45" s="1"/>
      <c r="E45" s="1"/>
      <c r="F45" s="1"/>
      <c r="G45" s="1"/>
      <c r="H45" s="1"/>
      <c r="I45" s="1"/>
      <c r="J45" s="65"/>
      <c r="K45" s="49"/>
      <c r="L45" s="1"/>
      <c r="M45" s="1"/>
      <c r="N45" s="1"/>
      <c r="O45" s="1"/>
      <c r="S45" s="1"/>
      <c r="T45" s="1"/>
      <c r="U45" s="1"/>
      <c r="W45" s="1"/>
      <c r="X45" s="1"/>
      <c r="Y45" s="1"/>
      <c r="Z45" s="1"/>
      <c r="AA45" s="26"/>
    </row>
    <row r="46" spans="3:26" ht="12.75">
      <c r="C46" s="1"/>
      <c r="D46" s="1"/>
      <c r="E46" s="1"/>
      <c r="F46" s="1"/>
      <c r="G46" s="1"/>
      <c r="H46" s="1"/>
      <c r="I46" s="1"/>
      <c r="J46" s="65"/>
      <c r="K46" s="49"/>
      <c r="L46" s="1"/>
      <c r="M46" s="1"/>
      <c r="N46" s="1"/>
      <c r="O46" s="1"/>
      <c r="S46" s="1"/>
      <c r="T46" s="1"/>
      <c r="U46" s="1"/>
      <c r="W46" s="1"/>
      <c r="X46" s="1"/>
      <c r="Y46" s="1"/>
      <c r="Z46" s="1"/>
    </row>
    <row r="47" spans="3:27" ht="13.5" thickBot="1">
      <c r="C47" s="1" t="s">
        <v>21</v>
      </c>
      <c r="D47" s="79" t="s">
        <v>22</v>
      </c>
      <c r="E47" s="1"/>
      <c r="F47" s="1"/>
      <c r="G47" s="80">
        <f>G44/82330.811*100</f>
        <v>-5.166797154469911</v>
      </c>
      <c r="H47" s="81"/>
      <c r="I47" s="80">
        <f>I44/79308.72*100</f>
        <v>-12.844741410528377</v>
      </c>
      <c r="J47" s="65"/>
      <c r="K47" s="80">
        <f>K44/82330.811*100</f>
        <v>-15.922767965931984</v>
      </c>
      <c r="L47" s="81"/>
      <c r="M47" s="80">
        <f>M44/79308.72*100</f>
        <v>-28.500064053486174</v>
      </c>
      <c r="N47" s="75"/>
      <c r="O47" s="75"/>
      <c r="S47" s="80">
        <f>S44/82330.811*100</f>
        <v>-2.9853343725716504</v>
      </c>
      <c r="T47" s="80">
        <f>T44/82330.811*100</f>
        <v>-2.606557586320873</v>
      </c>
      <c r="U47" s="80">
        <f>U44/79308.72*100</f>
        <v>-5.359219011478185</v>
      </c>
      <c r="V47" s="35">
        <f>V44/79308.72*100</f>
        <v>-28.500072879753958</v>
      </c>
      <c r="W47" s="80">
        <v>-2.54</v>
      </c>
      <c r="X47" s="80">
        <v>-10.53</v>
      </c>
      <c r="Y47" s="80">
        <f>Y44/78481.478*100</f>
        <v>-4.811326310648736</v>
      </c>
      <c r="Z47" s="80">
        <f>Z44/79308.72*100</f>
        <v>-12.844741410528377</v>
      </c>
      <c r="AA47" s="80">
        <f>AA44/79308.72*100</f>
        <v>-28.500064053486174</v>
      </c>
    </row>
    <row r="48" spans="3:26" ht="12.75">
      <c r="C48" s="1"/>
      <c r="D48" s="79"/>
      <c r="E48" s="1"/>
      <c r="F48" s="1"/>
      <c r="G48" s="65"/>
      <c r="H48" s="65"/>
      <c r="I48" s="65"/>
      <c r="J48" s="65"/>
      <c r="K48" s="50"/>
      <c r="L48" s="65"/>
      <c r="M48" s="65"/>
      <c r="N48" s="65"/>
      <c r="O48" s="65"/>
      <c r="S48" s="65"/>
      <c r="T48" s="65"/>
      <c r="U48" s="65"/>
      <c r="V48" s="32"/>
      <c r="W48" s="65"/>
      <c r="X48" s="65"/>
      <c r="Y48" s="65"/>
      <c r="Z48" s="65"/>
    </row>
    <row r="49" spans="3:26" ht="13.5" thickBot="1">
      <c r="C49" s="1"/>
      <c r="D49" s="79" t="s">
        <v>23</v>
      </c>
      <c r="E49" s="1"/>
      <c r="F49" s="1"/>
      <c r="G49" s="82">
        <v>0</v>
      </c>
      <c r="H49" s="82"/>
      <c r="I49" s="82">
        <v>0</v>
      </c>
      <c r="J49" s="65"/>
      <c r="K49" s="83">
        <v>0</v>
      </c>
      <c r="L49" s="81"/>
      <c r="M49" s="82">
        <v>0</v>
      </c>
      <c r="N49" s="76"/>
      <c r="O49" s="76"/>
      <c r="S49" s="82">
        <v>0</v>
      </c>
      <c r="T49" s="82">
        <v>0</v>
      </c>
      <c r="U49" s="82">
        <v>0</v>
      </c>
      <c r="V49" s="34">
        <v>0</v>
      </c>
      <c r="W49" s="82">
        <v>0</v>
      </c>
      <c r="X49" s="82">
        <v>0</v>
      </c>
      <c r="Y49" s="82">
        <v>0</v>
      </c>
      <c r="Z49" s="82">
        <v>0</v>
      </c>
    </row>
    <row r="50" spans="3:26" ht="12.75">
      <c r="C50" s="1"/>
      <c r="D50" s="1"/>
      <c r="E50" s="1"/>
      <c r="F50" s="1"/>
      <c r="G50" s="1"/>
      <c r="H50" s="1"/>
      <c r="I50" s="1"/>
      <c r="J50" s="65"/>
      <c r="K50" s="49"/>
      <c r="L50" s="1"/>
      <c r="M50" s="1"/>
      <c r="N50" s="1"/>
      <c r="O50" s="1"/>
      <c r="T50" s="1"/>
      <c r="U50" s="1"/>
      <c r="W50" s="1"/>
      <c r="X50" s="1"/>
      <c r="Y50" s="1"/>
      <c r="Z50" s="1"/>
    </row>
    <row r="51" spans="3:15" ht="12.75">
      <c r="C51" s="1"/>
      <c r="D51" s="1"/>
      <c r="E51" s="1"/>
      <c r="F51" s="1"/>
      <c r="G51" s="1"/>
      <c r="H51" s="1"/>
      <c r="I51" s="1"/>
      <c r="J51" s="65"/>
      <c r="K51" s="49"/>
      <c r="L51" s="1"/>
      <c r="M51" s="1"/>
      <c r="N51" s="1"/>
      <c r="O51" s="1"/>
    </row>
    <row r="52" spans="3:15" ht="12.75">
      <c r="C52" s="1"/>
      <c r="D52" s="1"/>
      <c r="E52" s="1"/>
      <c r="F52" s="1"/>
      <c r="G52" s="1"/>
      <c r="H52" s="1"/>
      <c r="I52" s="1"/>
      <c r="J52" s="1"/>
      <c r="K52" s="49"/>
      <c r="L52" s="1"/>
      <c r="M52" s="1"/>
      <c r="N52" s="1"/>
      <c r="O52" s="1"/>
    </row>
    <row r="53" spans="3:15" ht="12.75">
      <c r="C53" s="108" t="s">
        <v>105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94"/>
      <c r="O53" s="94"/>
    </row>
    <row r="54" spans="3:15" ht="12.75"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94"/>
      <c r="O54" s="94"/>
    </row>
  </sheetData>
  <mergeCells count="6">
    <mergeCell ref="G12:I12"/>
    <mergeCell ref="K12:M12"/>
    <mergeCell ref="C53:M54"/>
    <mergeCell ref="C3:M5"/>
    <mergeCell ref="C7:M7"/>
    <mergeCell ref="C6:M6"/>
  </mergeCells>
  <printOptions/>
  <pageMargins left="0.75" right="0.75" top="0.5" bottom="0" header="0.5" footer="0.5"/>
  <pageSetup horizontalDpi="180" verticalDpi="18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38">
      <selection activeCell="E50" sqref="E50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47.7109375" style="0" customWidth="1"/>
    <col min="4" max="4" width="12.00390625" style="0" hidden="1" customWidth="1"/>
    <col min="5" max="5" width="2.7109375" style="4" customWidth="1"/>
    <col min="6" max="6" width="12.00390625" style="0" customWidth="1"/>
    <col min="7" max="7" width="2.57421875" style="4" customWidth="1"/>
    <col min="8" max="8" width="12.00390625" style="0" customWidth="1"/>
  </cols>
  <sheetData>
    <row r="1" spans="1:3" ht="12.75">
      <c r="A1" s="1"/>
      <c r="B1" s="1"/>
      <c r="C1" s="1"/>
    </row>
    <row r="2" spans="1:3" ht="12.75">
      <c r="A2" s="1" t="s">
        <v>121</v>
      </c>
      <c r="B2" s="1"/>
      <c r="C2" s="1"/>
    </row>
    <row r="3" spans="1:3" ht="12.75">
      <c r="A3" s="1" t="s">
        <v>49</v>
      </c>
      <c r="B3" s="1"/>
      <c r="C3" s="1"/>
    </row>
    <row r="4" spans="1:3" ht="12.75">
      <c r="A4" s="1" t="s">
        <v>137</v>
      </c>
      <c r="B4" s="1"/>
      <c r="C4" s="1"/>
    </row>
    <row r="5" spans="1:3" ht="12.75">
      <c r="A5" s="1"/>
      <c r="B5" s="1"/>
      <c r="C5" s="1"/>
    </row>
    <row r="6" spans="1:8" ht="12.75">
      <c r="A6" s="1"/>
      <c r="B6" s="1"/>
      <c r="C6" s="1"/>
      <c r="F6" s="42">
        <v>2003</v>
      </c>
      <c r="H6" s="42">
        <v>2002</v>
      </c>
    </row>
    <row r="7" spans="4:8" s="1" customFormat="1" ht="12.75">
      <c r="D7" s="42" t="s">
        <v>50</v>
      </c>
      <c r="E7" s="43"/>
      <c r="F7" s="44">
        <v>37986</v>
      </c>
      <c r="G7" s="43"/>
      <c r="H7" s="44">
        <v>37621</v>
      </c>
    </row>
    <row r="8" spans="4:8" s="1" customFormat="1" ht="12.75">
      <c r="D8" s="45" t="s">
        <v>51</v>
      </c>
      <c r="E8" s="43"/>
      <c r="F8" s="45" t="s">
        <v>9</v>
      </c>
      <c r="G8" s="43"/>
      <c r="H8" s="45" t="s">
        <v>9</v>
      </c>
    </row>
    <row r="10" spans="4:8" ht="12.75">
      <c r="D10" s="3"/>
      <c r="E10" s="8"/>
      <c r="F10" s="3"/>
      <c r="G10" s="8"/>
      <c r="H10" s="3"/>
    </row>
    <row r="11" spans="1:8" ht="12.75">
      <c r="A11" s="1" t="s">
        <v>52</v>
      </c>
      <c r="D11" s="3"/>
      <c r="E11" s="8"/>
      <c r="F11" s="3">
        <v>-13110</v>
      </c>
      <c r="G11" s="8"/>
      <c r="H11" s="3">
        <v>-22641</v>
      </c>
    </row>
    <row r="12" spans="4:8" ht="12.75">
      <c r="D12" s="3"/>
      <c r="E12" s="8"/>
      <c r="F12" s="3"/>
      <c r="G12" s="8"/>
      <c r="H12" s="3"/>
    </row>
    <row r="13" spans="1:8" ht="12.75">
      <c r="A13" s="1" t="s">
        <v>53</v>
      </c>
      <c r="D13" s="3"/>
      <c r="E13" s="8"/>
      <c r="F13" s="3"/>
      <c r="G13" s="8"/>
      <c r="H13" s="3"/>
    </row>
    <row r="14" spans="1:8" ht="12.75">
      <c r="A14" t="s">
        <v>54</v>
      </c>
      <c r="D14" s="3"/>
      <c r="E14" s="8"/>
      <c r="F14" s="3">
        <v>5220</v>
      </c>
      <c r="G14" s="8"/>
      <c r="H14" s="3">
        <f>5357</f>
        <v>5357</v>
      </c>
    </row>
    <row r="15" spans="1:8" ht="12.75">
      <c r="A15" t="s">
        <v>55</v>
      </c>
      <c r="D15" s="3"/>
      <c r="E15" s="8"/>
      <c r="F15" s="3">
        <v>-106</v>
      </c>
      <c r="G15" s="8"/>
      <c r="H15" s="3">
        <f>483.4</f>
        <v>483.4</v>
      </c>
    </row>
    <row r="16" spans="1:8" ht="12.75">
      <c r="A16" t="s">
        <v>56</v>
      </c>
      <c r="D16" s="3"/>
      <c r="E16" s="8"/>
      <c r="F16" s="3">
        <v>22</v>
      </c>
      <c r="G16" s="8"/>
      <c r="H16" s="3">
        <v>70</v>
      </c>
    </row>
    <row r="17" spans="1:8" ht="12.75">
      <c r="A17" t="s">
        <v>117</v>
      </c>
      <c r="D17" s="9"/>
      <c r="E17" s="8"/>
      <c r="F17" s="9">
        <v>-1799</v>
      </c>
      <c r="G17" s="8"/>
      <c r="H17" s="9">
        <v>0</v>
      </c>
    </row>
    <row r="18" spans="1:8" ht="12.75">
      <c r="A18" s="1" t="s">
        <v>57</v>
      </c>
      <c r="D18" s="46"/>
      <c r="E18" s="8"/>
      <c r="F18" s="47">
        <f>SUM(F11:F17)</f>
        <v>-9773</v>
      </c>
      <c r="G18" s="48"/>
      <c r="H18" s="47">
        <f>SUM(H11:H17)</f>
        <v>-16730.6</v>
      </c>
    </row>
    <row r="19" spans="4:8" ht="12.75">
      <c r="D19" s="3"/>
      <c r="E19" s="8"/>
      <c r="F19" s="3"/>
      <c r="G19" s="8"/>
      <c r="H19" s="3"/>
    </row>
    <row r="20" spans="1:8" ht="12.75">
      <c r="A20" s="1" t="s">
        <v>58</v>
      </c>
      <c r="D20" s="3"/>
      <c r="E20" s="8"/>
      <c r="F20" s="3"/>
      <c r="G20" s="8"/>
      <c r="H20" s="3"/>
    </row>
    <row r="21" spans="2:8" ht="12.75">
      <c r="B21" t="s">
        <v>59</v>
      </c>
      <c r="D21" s="3"/>
      <c r="E21" s="8"/>
      <c r="F21" s="3">
        <v>13451</v>
      </c>
      <c r="G21" s="8"/>
      <c r="H21" s="3">
        <v>14393.6</v>
      </c>
    </row>
    <row r="22" spans="2:8" ht="12.75">
      <c r="B22" t="s">
        <v>60</v>
      </c>
      <c r="D22" s="3"/>
      <c r="E22" s="8"/>
      <c r="F22" s="9">
        <v>474</v>
      </c>
      <c r="G22" s="8"/>
      <c r="H22" s="9">
        <v>-1058</v>
      </c>
    </row>
    <row r="23" spans="4:8" ht="12.75">
      <c r="D23" s="3"/>
      <c r="E23" s="8"/>
      <c r="F23" s="3">
        <f>SUM(F18:F22)</f>
        <v>4152</v>
      </c>
      <c r="G23" s="3"/>
      <c r="H23" s="3">
        <f>SUM(H18:H22)</f>
        <v>-3394.999999999998</v>
      </c>
    </row>
    <row r="24" spans="2:8" ht="12.75">
      <c r="B24" t="s">
        <v>109</v>
      </c>
      <c r="D24" s="3"/>
      <c r="E24" s="8"/>
      <c r="F24" s="3"/>
      <c r="G24" s="8"/>
      <c r="H24" s="3">
        <v>-2</v>
      </c>
    </row>
    <row r="25" spans="4:8" ht="12.75">
      <c r="D25" s="3"/>
      <c r="E25" s="8"/>
      <c r="F25" s="3"/>
      <c r="G25" s="8"/>
      <c r="H25" s="3"/>
    </row>
    <row r="26" spans="1:8" ht="12.75">
      <c r="A26" s="1" t="s">
        <v>61</v>
      </c>
      <c r="B26" s="1"/>
      <c r="C26" s="1"/>
      <c r="D26" s="46"/>
      <c r="E26" s="8"/>
      <c r="F26" s="47">
        <f>+F23+F24</f>
        <v>4152</v>
      </c>
      <c r="G26" s="48"/>
      <c r="H26" s="47">
        <f>+H23+H24</f>
        <v>-3396.999999999998</v>
      </c>
    </row>
    <row r="27" spans="4:8" ht="12.75">
      <c r="D27" s="3"/>
      <c r="E27" s="8"/>
      <c r="F27" s="3"/>
      <c r="G27" s="8"/>
      <c r="H27" s="3"/>
    </row>
    <row r="28" spans="4:8" ht="12.75">
      <c r="D28" s="3"/>
      <c r="E28" s="8"/>
      <c r="F28" s="3"/>
      <c r="G28" s="8"/>
      <c r="H28" s="3"/>
    </row>
    <row r="29" spans="1:8" ht="12.75">
      <c r="A29" s="1" t="s">
        <v>62</v>
      </c>
      <c r="D29" s="3"/>
      <c r="E29" s="8"/>
      <c r="F29" s="3"/>
      <c r="G29" s="8"/>
      <c r="H29" s="3"/>
    </row>
    <row r="30" spans="2:8" ht="12.75">
      <c r="B30" t="s">
        <v>63</v>
      </c>
      <c r="D30" s="3"/>
      <c r="E30" s="8"/>
      <c r="F30" s="3">
        <v>-1134</v>
      </c>
      <c r="G30" s="8"/>
      <c r="H30" s="3">
        <v>-3652</v>
      </c>
    </row>
    <row r="31" spans="2:8" ht="12.75">
      <c r="B31" t="s">
        <v>64</v>
      </c>
      <c r="D31" s="3"/>
      <c r="E31" s="8"/>
      <c r="F31" s="3">
        <v>330</v>
      </c>
      <c r="G31" s="8"/>
      <c r="H31" s="3">
        <v>33</v>
      </c>
    </row>
    <row r="32" spans="2:8" ht="12.75">
      <c r="B32" t="s">
        <v>65</v>
      </c>
      <c r="D32" s="3"/>
      <c r="E32" s="8"/>
      <c r="F32" s="3">
        <v>-154</v>
      </c>
      <c r="G32" s="8"/>
      <c r="H32" s="3">
        <v>-425</v>
      </c>
    </row>
    <row r="33" spans="4:8" ht="12.75">
      <c r="D33" s="9"/>
      <c r="E33" s="8"/>
      <c r="F33" s="9"/>
      <c r="G33" s="8"/>
      <c r="H33" s="9"/>
    </row>
    <row r="34" spans="4:8" ht="12.75">
      <c r="D34" s="46"/>
      <c r="E34" s="8"/>
      <c r="F34" s="46">
        <f>SUM(F30:F33)</f>
        <v>-958</v>
      </c>
      <c r="G34" s="8"/>
      <c r="H34" s="46">
        <f>SUM(H30:H33)</f>
        <v>-4044</v>
      </c>
    </row>
    <row r="35" spans="4:8" ht="12.75">
      <c r="D35" s="3"/>
      <c r="E35" s="8"/>
      <c r="F35" s="3"/>
      <c r="G35" s="8"/>
      <c r="H35" s="3"/>
    </row>
    <row r="36" spans="1:8" s="1" customFormat="1" ht="12.75">
      <c r="A36" s="1" t="s">
        <v>66</v>
      </c>
      <c r="D36" s="49"/>
      <c r="E36" s="50"/>
      <c r="F36" s="49"/>
      <c r="G36" s="50"/>
      <c r="H36" s="49"/>
    </row>
    <row r="37" spans="2:8" ht="12.75">
      <c r="B37" t="s">
        <v>67</v>
      </c>
      <c r="D37" s="3"/>
      <c r="E37" s="8"/>
      <c r="F37" s="3">
        <v>0</v>
      </c>
      <c r="G37" s="8"/>
      <c r="H37" s="3">
        <f>7937</f>
        <v>7937</v>
      </c>
    </row>
    <row r="38" spans="2:8" ht="12.75">
      <c r="B38" t="s">
        <v>0</v>
      </c>
      <c r="D38" s="3"/>
      <c r="E38" s="8"/>
      <c r="F38" s="3">
        <v>0</v>
      </c>
      <c r="G38" s="8"/>
      <c r="H38" s="3">
        <f>6801</f>
        <v>6801</v>
      </c>
    </row>
    <row r="39" spans="2:8" ht="12.75">
      <c r="B39" t="s">
        <v>68</v>
      </c>
      <c r="D39" s="3"/>
      <c r="E39" s="8"/>
      <c r="F39" s="3">
        <f>-1996</f>
        <v>-1996</v>
      </c>
      <c r="G39" s="8"/>
      <c r="H39" s="3">
        <v>-6578</v>
      </c>
    </row>
    <row r="40" spans="2:8" ht="12.75">
      <c r="B40" t="s">
        <v>13</v>
      </c>
      <c r="D40" s="3"/>
      <c r="E40" s="8"/>
      <c r="F40" s="3">
        <v>-1965</v>
      </c>
      <c r="G40" s="8"/>
      <c r="H40" s="3">
        <v>-858</v>
      </c>
    </row>
    <row r="41" spans="4:8" ht="12.75">
      <c r="D41" s="46"/>
      <c r="E41" s="8"/>
      <c r="F41" s="46">
        <f>SUM(F37:F40)</f>
        <v>-3961</v>
      </c>
      <c r="G41" s="8"/>
      <c r="H41" s="46">
        <f>SUM(H37:H40)</f>
        <v>7302</v>
      </c>
    </row>
    <row r="42" spans="4:8" ht="12.75">
      <c r="D42" s="3"/>
      <c r="E42" s="8"/>
      <c r="F42" s="3"/>
      <c r="G42" s="8"/>
      <c r="H42" s="3"/>
    </row>
    <row r="43" spans="1:8" ht="12.75">
      <c r="A43" s="1" t="s">
        <v>69</v>
      </c>
      <c r="D43" s="8"/>
      <c r="E43" s="8"/>
      <c r="F43" s="8">
        <f>F41+F34+F26</f>
        <v>-767</v>
      </c>
      <c r="G43" s="8"/>
      <c r="H43" s="8">
        <f>H41+H34+H26</f>
        <v>-138.99999999999818</v>
      </c>
    </row>
    <row r="44" spans="4:8" ht="12.75">
      <c r="D44" s="3"/>
      <c r="E44" s="8"/>
      <c r="F44" s="3"/>
      <c r="G44" s="8"/>
      <c r="H44" s="3"/>
    </row>
    <row r="45" spans="1:8" ht="12.75">
      <c r="A45" s="1" t="s">
        <v>70</v>
      </c>
      <c r="D45" s="3"/>
      <c r="E45" s="8"/>
      <c r="F45" s="3">
        <v>943</v>
      </c>
      <c r="G45" s="8"/>
      <c r="H45" s="3">
        <v>1082</v>
      </c>
    </row>
    <row r="46" spans="4:8" ht="12.75">
      <c r="D46" s="3"/>
      <c r="E46" s="8"/>
      <c r="F46" s="3"/>
      <c r="G46" s="8"/>
      <c r="H46" s="3"/>
    </row>
    <row r="47" spans="1:8" ht="13.5" thickBot="1">
      <c r="A47" s="1" t="s">
        <v>130</v>
      </c>
      <c r="D47" s="29"/>
      <c r="E47" s="8"/>
      <c r="F47" s="29">
        <f>F43+F45</f>
        <v>176</v>
      </c>
      <c r="G47" s="8"/>
      <c r="H47" s="29">
        <f>H43+H45</f>
        <v>943.0000000000018</v>
      </c>
    </row>
    <row r="48" spans="4:8" ht="13.5" thickTop="1">
      <c r="D48" s="3"/>
      <c r="E48" s="8"/>
      <c r="F48" s="3"/>
      <c r="G48" s="8"/>
      <c r="H48" s="3"/>
    </row>
    <row r="49" spans="4:12" ht="12.75">
      <c r="D49" s="3"/>
      <c r="E49" s="8"/>
      <c r="F49" s="3"/>
      <c r="G49" s="8"/>
      <c r="H49" s="3"/>
      <c r="L49" s="3"/>
    </row>
    <row r="50" spans="4:12" ht="12.75">
      <c r="D50" s="3"/>
      <c r="E50" s="8"/>
      <c r="F50" s="3"/>
      <c r="G50" s="8"/>
      <c r="H50" s="3"/>
      <c r="L50" s="3"/>
    </row>
    <row r="51" spans="1:8" ht="12.75">
      <c r="A51" s="108" t="s">
        <v>110</v>
      </c>
      <c r="B51" s="108"/>
      <c r="C51" s="108"/>
      <c r="D51" s="108"/>
      <c r="E51" s="108"/>
      <c r="F51" s="108"/>
      <c r="G51" s="108"/>
      <c r="H51" s="108"/>
    </row>
    <row r="52" spans="1:8" ht="12.75">
      <c r="A52" s="108"/>
      <c r="B52" s="108"/>
      <c r="C52" s="108"/>
      <c r="D52" s="108"/>
      <c r="E52" s="108"/>
      <c r="F52" s="108"/>
      <c r="G52" s="108"/>
      <c r="H52" s="108"/>
    </row>
    <row r="53" spans="4:8" ht="12.75">
      <c r="D53" s="3"/>
      <c r="E53" s="8"/>
      <c r="F53" s="3"/>
      <c r="G53" s="8"/>
      <c r="H53" s="3"/>
    </row>
    <row r="54" spans="4:11" ht="12.75">
      <c r="D54" s="3"/>
      <c r="E54" s="8"/>
      <c r="F54" s="3"/>
      <c r="G54" s="8"/>
      <c r="H54" s="3"/>
      <c r="I54" s="41"/>
      <c r="J54" s="41"/>
      <c r="K54" s="41"/>
    </row>
    <row r="55" spans="4:8" ht="12.75">
      <c r="D55" s="3"/>
      <c r="E55" s="8"/>
      <c r="F55" s="3"/>
      <c r="G55" s="8"/>
      <c r="H55" s="3"/>
    </row>
    <row r="56" spans="6:7" ht="12.75">
      <c r="F56" s="51" t="s">
        <v>3</v>
      </c>
      <c r="G56" s="52"/>
    </row>
  </sheetData>
  <mergeCells count="1">
    <mergeCell ref="A51:H52"/>
  </mergeCells>
  <printOptions/>
  <pageMargins left="1" right="0.75" top="1" bottom="1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9"/>
  <sheetViews>
    <sheetView workbookViewId="0" topLeftCell="A9">
      <selection activeCell="B24" sqref="B24"/>
    </sheetView>
  </sheetViews>
  <sheetFormatPr defaultColWidth="9.140625" defaultRowHeight="12.75"/>
  <cols>
    <col min="1" max="1" width="4.28125" style="0" customWidth="1"/>
    <col min="3" max="3" width="20.00390625" style="0" customWidth="1"/>
    <col min="4" max="4" width="14.140625" style="3" bestFit="1" customWidth="1"/>
    <col min="5" max="5" width="10.7109375" style="3" customWidth="1"/>
    <col min="6" max="6" width="9.8515625" style="3" customWidth="1"/>
    <col min="7" max="7" width="12.00390625" style="38" customWidth="1"/>
    <col min="8" max="8" width="14.7109375" style="3" bestFit="1" customWidth="1"/>
    <col min="9" max="9" width="14.140625" style="3" bestFit="1" customWidth="1"/>
  </cols>
  <sheetData>
    <row r="2" ht="15.75">
      <c r="B2" s="37" t="s">
        <v>121</v>
      </c>
    </row>
    <row r="4" ht="15.75">
      <c r="B4" s="37" t="s">
        <v>24</v>
      </c>
    </row>
    <row r="5" ht="15.75">
      <c r="B5" s="37" t="s">
        <v>137</v>
      </c>
    </row>
    <row r="8" spans="4:9" ht="12.75">
      <c r="D8" s="90" t="s">
        <v>25</v>
      </c>
      <c r="E8" s="90" t="s">
        <v>26</v>
      </c>
      <c r="F8" s="90" t="s">
        <v>27</v>
      </c>
      <c r="G8" s="90" t="s">
        <v>28</v>
      </c>
      <c r="H8" s="90" t="s">
        <v>29</v>
      </c>
      <c r="I8" s="90" t="s">
        <v>30</v>
      </c>
    </row>
    <row r="9" spans="4:9" ht="12.75">
      <c r="D9" s="90" t="s">
        <v>31</v>
      </c>
      <c r="E9" s="90" t="s">
        <v>32</v>
      </c>
      <c r="F9" s="90" t="s">
        <v>32</v>
      </c>
      <c r="G9" s="90" t="s">
        <v>33</v>
      </c>
      <c r="H9" s="90" t="s">
        <v>34</v>
      </c>
      <c r="I9" s="90"/>
    </row>
    <row r="10" spans="4:9" ht="12.75">
      <c r="D10" s="91" t="s">
        <v>9</v>
      </c>
      <c r="E10" s="91" t="s">
        <v>9</v>
      </c>
      <c r="F10" s="91" t="s">
        <v>9</v>
      </c>
      <c r="G10" s="91" t="s">
        <v>9</v>
      </c>
      <c r="H10" s="91" t="s">
        <v>9</v>
      </c>
      <c r="I10" s="91" t="s">
        <v>9</v>
      </c>
    </row>
    <row r="12" spans="2:9" ht="12.75">
      <c r="B12" t="s">
        <v>111</v>
      </c>
      <c r="D12" s="3">
        <v>82330.811</v>
      </c>
      <c r="E12" s="3">
        <v>1726</v>
      </c>
      <c r="F12" s="3">
        <v>-351</v>
      </c>
      <c r="G12" s="38">
        <v>6977.926</v>
      </c>
      <c r="H12" s="3">
        <v>-58444.489</v>
      </c>
      <c r="I12" s="3">
        <f>SUM(D12:H12)+0.2</f>
        <v>32239.448000000008</v>
      </c>
    </row>
    <row r="14" spans="2:9" ht="12.75">
      <c r="B14" t="s">
        <v>36</v>
      </c>
      <c r="D14" s="3">
        <v>0</v>
      </c>
      <c r="E14" s="3">
        <v>0</v>
      </c>
      <c r="F14" s="3">
        <v>0</v>
      </c>
      <c r="H14" s="3">
        <v>0</v>
      </c>
      <c r="I14" s="3">
        <f>SUM(D14:H14)</f>
        <v>0</v>
      </c>
    </row>
    <row r="15" ht="12.75">
      <c r="B15" t="s">
        <v>114</v>
      </c>
    </row>
    <row r="16" spans="2:9" ht="12.75">
      <c r="B16" t="s">
        <v>38</v>
      </c>
      <c r="D16" s="3">
        <v>0</v>
      </c>
      <c r="E16" s="3">
        <v>0</v>
      </c>
      <c r="F16" s="3">
        <f>-154</f>
        <v>-154</v>
      </c>
      <c r="G16" s="38">
        <v>0</v>
      </c>
      <c r="H16" s="3">
        <v>0</v>
      </c>
      <c r="I16" s="3">
        <f>SUM(D16:H16)</f>
        <v>-154</v>
      </c>
    </row>
    <row r="17" spans="2:9" ht="12.75">
      <c r="B17" t="s">
        <v>138</v>
      </c>
      <c r="H17" s="3">
        <v>-1798.874</v>
      </c>
      <c r="I17" s="3">
        <f>SUM(D17:H17)</f>
        <v>-1798.874</v>
      </c>
    </row>
    <row r="18" ht="12.75">
      <c r="B18" t="s">
        <v>139</v>
      </c>
    </row>
    <row r="19" spans="2:9" ht="12.75">
      <c r="B19" t="s">
        <v>112</v>
      </c>
      <c r="D19" s="3">
        <v>0</v>
      </c>
      <c r="E19" s="3">
        <v>0</v>
      </c>
      <c r="F19" s="3">
        <v>0</v>
      </c>
      <c r="G19" s="38">
        <v>0</v>
      </c>
      <c r="H19" s="3">
        <f>-13109.072</f>
        <v>-13109.072</v>
      </c>
      <c r="I19" s="3">
        <f>SUM(D19:H19)</f>
        <v>-13109.072</v>
      </c>
    </row>
    <row r="20" spans="4:9" ht="12.75">
      <c r="D20" s="9"/>
      <c r="E20" s="9"/>
      <c r="F20" s="9"/>
      <c r="G20" s="39"/>
      <c r="H20" s="9"/>
      <c r="I20" s="9"/>
    </row>
    <row r="21" spans="2:9" ht="13.5" thickBot="1">
      <c r="B21" t="s">
        <v>134</v>
      </c>
      <c r="D21" s="29">
        <f aca="true" t="shared" si="0" ref="D21:I21">SUM(D12:D19)</f>
        <v>82330.811</v>
      </c>
      <c r="E21" s="29">
        <f t="shared" si="0"/>
        <v>1726</v>
      </c>
      <c r="F21" s="29">
        <f t="shared" si="0"/>
        <v>-505</v>
      </c>
      <c r="G21" s="29">
        <f t="shared" si="0"/>
        <v>6977.926</v>
      </c>
      <c r="H21" s="29">
        <f t="shared" si="0"/>
        <v>-73352.435</v>
      </c>
      <c r="I21" s="29">
        <f t="shared" si="0"/>
        <v>17177.502000000008</v>
      </c>
    </row>
    <row r="22" ht="13.5" thickTop="1"/>
    <row r="25" spans="2:9" ht="12.75">
      <c r="B25" t="s">
        <v>35</v>
      </c>
      <c r="D25" s="3">
        <v>74393.811</v>
      </c>
      <c r="E25" s="3">
        <v>1726</v>
      </c>
      <c r="F25" s="3">
        <v>73.66</v>
      </c>
      <c r="G25" s="38">
        <v>1976.125</v>
      </c>
      <c r="H25" s="3">
        <v>-37640</v>
      </c>
      <c r="I25" s="3">
        <f>SUM(D25:H25)</f>
        <v>40529.596000000005</v>
      </c>
    </row>
    <row r="27" spans="2:9" ht="12.75">
      <c r="B27" t="s">
        <v>36</v>
      </c>
      <c r="D27" s="3">
        <v>7937</v>
      </c>
      <c r="E27" s="3">
        <v>0</v>
      </c>
      <c r="F27" s="3">
        <v>0</v>
      </c>
      <c r="G27" s="38">
        <v>5001.801</v>
      </c>
      <c r="H27" s="3">
        <v>0</v>
      </c>
      <c r="I27" s="3">
        <f>SUM(D27:H27)</f>
        <v>12938.801</v>
      </c>
    </row>
    <row r="28" ht="12.75">
      <c r="B28" t="s">
        <v>37</v>
      </c>
    </row>
    <row r="29" spans="2:9" ht="12.75">
      <c r="B29" t="s">
        <v>38</v>
      </c>
      <c r="D29" s="3">
        <v>0</v>
      </c>
      <c r="E29" s="3">
        <v>0</v>
      </c>
      <c r="F29" s="3">
        <v>-424.887</v>
      </c>
      <c r="G29" s="38">
        <v>0</v>
      </c>
      <c r="H29" s="3">
        <v>0</v>
      </c>
      <c r="I29" s="3">
        <f>SUM(D29:H29)</f>
        <v>-424.887</v>
      </c>
    </row>
    <row r="30" spans="2:9" ht="12.75">
      <c r="B30" t="s">
        <v>73</v>
      </c>
      <c r="H30" s="3">
        <v>1798.874</v>
      </c>
      <c r="I30" s="3">
        <f>SUM(D30:H30)</f>
        <v>1798.874</v>
      </c>
    </row>
    <row r="31" ht="12.75">
      <c r="B31" t="s">
        <v>115</v>
      </c>
    </row>
    <row r="32" ht="12.75">
      <c r="B32" t="s">
        <v>116</v>
      </c>
    </row>
    <row r="33" spans="2:9" ht="12.75">
      <c r="B33" t="s">
        <v>112</v>
      </c>
      <c r="D33" s="3">
        <v>0</v>
      </c>
      <c r="E33" s="3">
        <v>0</v>
      </c>
      <c r="F33" s="3">
        <v>0</v>
      </c>
      <c r="H33" s="3">
        <v>-22603</v>
      </c>
      <c r="I33" s="3">
        <f>SUM(D33:H33)</f>
        <v>-22603</v>
      </c>
    </row>
    <row r="35" spans="2:9" ht="13.5" thickBot="1">
      <c r="B35" t="s">
        <v>72</v>
      </c>
      <c r="D35" s="29">
        <f aca="true" t="shared" si="1" ref="D35:I35">SUM(D25:D33)</f>
        <v>82330.811</v>
      </c>
      <c r="E35" s="29">
        <f t="shared" si="1"/>
        <v>1726</v>
      </c>
      <c r="F35" s="29">
        <f t="shared" si="1"/>
        <v>-351.227</v>
      </c>
      <c r="G35" s="29">
        <f t="shared" si="1"/>
        <v>6977.926</v>
      </c>
      <c r="H35" s="29">
        <f t="shared" si="1"/>
        <v>-58444.126</v>
      </c>
      <c r="I35" s="29">
        <f t="shared" si="1"/>
        <v>32239.384000000005</v>
      </c>
    </row>
    <row r="36" ht="13.5" thickTop="1"/>
    <row r="38" spans="2:9" ht="12.75">
      <c r="B38" s="108" t="s">
        <v>113</v>
      </c>
      <c r="C38" s="108"/>
      <c r="D38" s="108"/>
      <c r="E38" s="108"/>
      <c r="F38" s="108"/>
      <c r="G38" s="108"/>
      <c r="H38" s="108"/>
      <c r="I38" s="108"/>
    </row>
    <row r="39" spans="2:9" ht="12.75">
      <c r="B39" s="108"/>
      <c r="C39" s="108"/>
      <c r="D39" s="108"/>
      <c r="E39" s="108"/>
      <c r="F39" s="108"/>
      <c r="G39" s="108"/>
      <c r="H39" s="108"/>
      <c r="I39" s="108"/>
    </row>
  </sheetData>
  <mergeCells count="1">
    <mergeCell ref="B38:I39"/>
  </mergeCells>
  <printOptions/>
  <pageMargins left="0.75" right="0" top="1" bottom="1" header="0.5" footer="0.5"/>
  <pageSetup horizontalDpi="600" verticalDpi="600" orientation="portrait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I27"/>
  <sheetViews>
    <sheetView workbookViewId="0" topLeftCell="A18">
      <selection activeCell="A30" sqref="A30"/>
    </sheetView>
  </sheetViews>
  <sheetFormatPr defaultColWidth="9.140625" defaultRowHeight="12.75"/>
  <cols>
    <col min="7" max="7" width="12.421875" style="0" customWidth="1"/>
    <col min="8" max="8" width="2.8515625" style="0" customWidth="1"/>
    <col min="9" max="9" width="12.7109375" style="0" customWidth="1"/>
  </cols>
  <sheetData>
    <row r="3" ht="12.75">
      <c r="B3" s="1" t="s">
        <v>121</v>
      </c>
    </row>
    <row r="5" ht="12.75">
      <c r="B5" s="1" t="s">
        <v>39</v>
      </c>
    </row>
    <row r="6" ht="12.75">
      <c r="B6" s="1" t="s">
        <v>40</v>
      </c>
    </row>
    <row r="7" ht="12.75">
      <c r="B7" s="1" t="s">
        <v>131</v>
      </c>
    </row>
    <row r="9" spans="7:9" ht="12.75">
      <c r="G9" s="11">
        <v>2003</v>
      </c>
      <c r="I9" s="11">
        <v>2002</v>
      </c>
    </row>
    <row r="10" spans="7:9" ht="12.75">
      <c r="G10" s="40">
        <v>37986</v>
      </c>
      <c r="I10" s="40">
        <v>37621</v>
      </c>
    </row>
    <row r="11" spans="7:9" ht="12.75">
      <c r="G11" s="11" t="s">
        <v>41</v>
      </c>
      <c r="I11" s="11" t="s">
        <v>41</v>
      </c>
    </row>
    <row r="12" spans="7:9" ht="12.75">
      <c r="G12" s="11" t="s">
        <v>9</v>
      </c>
      <c r="I12" s="11" t="s">
        <v>9</v>
      </c>
    </row>
    <row r="14" spans="2:9" ht="12.75">
      <c r="B14" t="s">
        <v>42</v>
      </c>
      <c r="G14" s="3">
        <v>0</v>
      </c>
      <c r="H14" s="3"/>
      <c r="I14" s="3">
        <v>0</v>
      </c>
    </row>
    <row r="15" spans="7:9" ht="12.75">
      <c r="G15" s="3"/>
      <c r="H15" s="3"/>
      <c r="I15" s="3"/>
    </row>
    <row r="16" spans="2:9" ht="12.75">
      <c r="B16" t="s">
        <v>43</v>
      </c>
      <c r="G16" s="3">
        <v>0</v>
      </c>
      <c r="H16" s="3"/>
      <c r="I16" s="3">
        <v>0</v>
      </c>
    </row>
    <row r="17" spans="7:9" ht="12.75">
      <c r="G17" s="3"/>
      <c r="H17" s="3"/>
      <c r="I17" s="3"/>
    </row>
    <row r="18" spans="2:9" ht="12.75">
      <c r="B18" t="s">
        <v>44</v>
      </c>
      <c r="G18" s="3"/>
      <c r="H18" s="3"/>
      <c r="I18" s="3"/>
    </row>
    <row r="19" spans="2:9" ht="12.75">
      <c r="B19" t="s">
        <v>45</v>
      </c>
      <c r="G19" s="9">
        <f>-154</f>
        <v>-154</v>
      </c>
      <c r="H19" s="3"/>
      <c r="I19" s="9">
        <f>-425</f>
        <v>-425</v>
      </c>
    </row>
    <row r="20" spans="7:9" ht="12.75">
      <c r="G20" s="3"/>
      <c r="H20" s="3"/>
      <c r="I20" s="3"/>
    </row>
    <row r="21" spans="2:9" ht="12.75">
      <c r="B21" t="s">
        <v>46</v>
      </c>
      <c r="G21" s="3"/>
      <c r="H21" s="3"/>
      <c r="I21" s="3"/>
    </row>
    <row r="22" spans="2:9" ht="12.75">
      <c r="B22" t="s">
        <v>47</v>
      </c>
      <c r="G22" s="3">
        <v>-154</v>
      </c>
      <c r="H22" s="3"/>
      <c r="I22" s="3">
        <v>-425</v>
      </c>
    </row>
    <row r="23" spans="7:9" ht="12.75">
      <c r="G23" s="3"/>
      <c r="H23" s="3"/>
      <c r="I23" s="3"/>
    </row>
    <row r="24" spans="2:9" ht="12.75">
      <c r="B24" t="s">
        <v>135</v>
      </c>
      <c r="G24" s="9">
        <f>-13109</f>
        <v>-13109</v>
      </c>
      <c r="H24" s="3"/>
      <c r="I24" s="9">
        <v>-22603</v>
      </c>
    </row>
    <row r="25" spans="7:9" ht="12.75">
      <c r="G25" s="3"/>
      <c r="H25" s="3"/>
      <c r="I25" s="3"/>
    </row>
    <row r="26" ht="12.75">
      <c r="B26" t="s">
        <v>48</v>
      </c>
    </row>
    <row r="27" spans="2:9" ht="12.75">
      <c r="B27" t="s">
        <v>132</v>
      </c>
      <c r="G27" s="41">
        <v>0</v>
      </c>
      <c r="H27" s="41"/>
      <c r="I27" s="41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latexx 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Lim</dc:creator>
  <cp:keywords/>
  <dc:description/>
  <cp:lastModifiedBy>Ong</cp:lastModifiedBy>
  <cp:lastPrinted>2004-02-21T02:47:58Z</cp:lastPrinted>
  <dcterms:created xsi:type="dcterms:W3CDTF">2001-11-01T09:32:27Z</dcterms:created>
  <dcterms:modified xsi:type="dcterms:W3CDTF">2004-02-21T05:02:14Z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1963316593</vt:i4>
  </property>
  <property fmtid="{D5CDD505-2E9C-101B-9397-08002B2CF9AE}" pid="3" name="_EmailSubject">
    <vt:lpwstr>Re: Amended KLSE Reports Dec03</vt:lpwstr>
  </property>
  <property fmtid="{D5CDD505-2E9C-101B-9397-08002B2CF9AE}" pid="4" name="_AuthorEmail">
    <vt:lpwstr>cheah@latexx.com.my</vt:lpwstr>
  </property>
  <property fmtid="{D5CDD505-2E9C-101B-9397-08002B2CF9AE}" pid="5" name="_AuthorEmailDisplayName">
    <vt:lpwstr>cheah</vt:lpwstr>
  </property>
  <property fmtid="{D5CDD505-2E9C-101B-9397-08002B2CF9AE}" pid="6" name="_ReviewingToolsShownOnce">
    <vt:lpwstr/>
  </property>
</Properties>
</file>